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E:\LATITUDE_PC\Web\meeting\153\document\"/>
    </mc:Choice>
  </mc:AlternateContent>
  <xr:revisionPtr revIDLastSave="0" documentId="13_ncr:1_{AC040070-13AE-4FD5-8B61-489511F8E45B}" xr6:coauthVersionLast="47" xr6:coauthVersionMax="47" xr10:uidLastSave="{00000000-0000-0000-0000-000000000000}"/>
  <bookViews>
    <workbookView xWindow="3870" yWindow="990" windowWidth="18990" windowHeight="17760" xr2:uid="{00000000-000D-0000-FFFF-FFFF00000000}"/>
  </bookViews>
  <sheets>
    <sheet name="申込シート" sheetId="1" r:id="rId1"/>
    <sheet name="確認シート" sheetId="2" r:id="rId2"/>
    <sheet name="講演分類とシンポジウム" sheetId="3" r:id="rId3"/>
  </sheets>
  <definedNames>
    <definedName name="_xlnm.Print_Area" localSheetId="1">確認シート!$A$1:$G$53</definedName>
    <definedName name="_xlnm.Print_Area" localSheetId="0">申込シート!$B$2:$I$94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9" i="1" l="1"/>
  <c r="N51" i="1" s="1"/>
  <c r="M3" i="1"/>
  <c r="O12" i="1"/>
  <c r="Q12" i="1"/>
  <c r="O89" i="1"/>
  <c r="O88" i="1"/>
  <c r="N81" i="1" s="1"/>
  <c r="E82" i="1" s="1"/>
  <c r="P12" i="1"/>
  <c r="N45" i="1"/>
  <c r="N44" i="1"/>
  <c r="N43" i="1"/>
  <c r="N42" i="1"/>
  <c r="N41" i="1"/>
  <c r="N40" i="1"/>
  <c r="N39" i="1"/>
  <c r="N38" i="1"/>
  <c r="N37" i="1"/>
  <c r="N36" i="1"/>
  <c r="N35" i="1"/>
  <c r="N34" i="1"/>
  <c r="N33" i="1"/>
  <c r="N32" i="1"/>
  <c r="N31" i="1"/>
  <c r="L11" i="2"/>
  <c r="M31" i="1"/>
  <c r="S7" i="1"/>
  <c r="P3" i="1"/>
  <c r="M5" i="1"/>
  <c r="N5" i="1"/>
  <c r="O5" i="1" s="1"/>
  <c r="O3" i="1" s="1"/>
  <c r="T5" i="1"/>
  <c r="C48" i="2" s="1"/>
  <c r="R12" i="1"/>
  <c r="S12" i="1"/>
  <c r="T12" i="1"/>
  <c r="U12" i="1"/>
  <c r="V12" i="1"/>
  <c r="W12" i="1"/>
  <c r="X12" i="1"/>
  <c r="N13" i="1"/>
  <c r="N14" i="1"/>
  <c r="N15" i="1"/>
  <c r="N16" i="1"/>
  <c r="N17" i="1"/>
  <c r="N18" i="1"/>
  <c r="AA18" i="1"/>
  <c r="N19" i="1"/>
  <c r="W22" i="1"/>
  <c r="O24" i="1"/>
  <c r="P24" i="1"/>
  <c r="Q24" i="1"/>
  <c r="R24" i="1"/>
  <c r="S24" i="1"/>
  <c r="O31" i="1"/>
  <c r="P31" i="1"/>
  <c r="Q31" i="1"/>
  <c r="R31" i="1"/>
  <c r="M32" i="1"/>
  <c r="O32" i="1"/>
  <c r="P32" i="1"/>
  <c r="Q32" i="1"/>
  <c r="M33" i="1"/>
  <c r="O33" i="1"/>
  <c r="P33" i="1"/>
  <c r="Q33" i="1"/>
  <c r="M34" i="1"/>
  <c r="O34" i="1"/>
  <c r="P34" i="1"/>
  <c r="Q34" i="1"/>
  <c r="M35" i="1"/>
  <c r="O35" i="1"/>
  <c r="P35" i="1"/>
  <c r="Q35" i="1"/>
  <c r="M36" i="1"/>
  <c r="O36" i="1"/>
  <c r="P36" i="1"/>
  <c r="Q36" i="1"/>
  <c r="M37" i="1"/>
  <c r="O37" i="1"/>
  <c r="P37" i="1"/>
  <c r="Q37" i="1"/>
  <c r="M38" i="1"/>
  <c r="O38" i="1"/>
  <c r="P38" i="1"/>
  <c r="Q38" i="1"/>
  <c r="M39" i="1"/>
  <c r="O39" i="1"/>
  <c r="P39" i="1"/>
  <c r="Q39" i="1"/>
  <c r="M40" i="1"/>
  <c r="O40" i="1"/>
  <c r="P40" i="1"/>
  <c r="Q40" i="1"/>
  <c r="M41" i="1"/>
  <c r="O41" i="1"/>
  <c r="P41" i="1"/>
  <c r="Q41" i="1"/>
  <c r="M42" i="1"/>
  <c r="O42" i="1"/>
  <c r="P42" i="1"/>
  <c r="Q42" i="1"/>
  <c r="M43" i="1"/>
  <c r="O43" i="1"/>
  <c r="P43" i="1"/>
  <c r="Q43" i="1"/>
  <c r="M44" i="1"/>
  <c r="O44" i="1"/>
  <c r="P44" i="1"/>
  <c r="Q44" i="1"/>
  <c r="M45" i="1"/>
  <c r="O45" i="1"/>
  <c r="P45" i="1"/>
  <c r="Q45" i="1"/>
  <c r="R51" i="1"/>
  <c r="N48" i="1" s="1"/>
  <c r="N52" i="1"/>
  <c r="N63" i="1"/>
  <c r="N66" i="1"/>
  <c r="S66" i="1"/>
  <c r="M87" i="1"/>
  <c r="N89" i="1"/>
  <c r="N80" i="1" s="1"/>
  <c r="N53" i="1" l="1"/>
  <c r="D5" i="1" s="1"/>
  <c r="Q46" i="1"/>
  <c r="AB5" i="1" s="1"/>
  <c r="L12" i="2"/>
  <c r="P46" i="1"/>
  <c r="AB3" i="1" s="1"/>
  <c r="Q3" i="1"/>
  <c r="N55" i="1"/>
  <c r="N54" i="1"/>
  <c r="P5" i="1"/>
  <c r="N60" i="1"/>
  <c r="N56" i="1"/>
  <c r="N59" i="1"/>
  <c r="E7" i="1"/>
  <c r="C81" i="1"/>
  <c r="J37" i="2" s="1"/>
  <c r="D37" i="2" s="1"/>
  <c r="C45" i="1"/>
  <c r="R45" i="1" s="1"/>
  <c r="C44" i="1"/>
  <c r="R44" i="1" s="1"/>
  <c r="C43" i="1"/>
  <c r="R43" i="1" s="1"/>
  <c r="C42" i="1"/>
  <c r="R42" i="1" s="1"/>
  <c r="C41" i="1"/>
  <c r="R41" i="1" s="1"/>
  <c r="C40" i="1"/>
  <c r="R40" i="1" s="1"/>
  <c r="C39" i="1"/>
  <c r="R39" i="1" s="1"/>
  <c r="C38" i="1"/>
  <c r="R38" i="1" s="1"/>
  <c r="C37" i="1"/>
  <c r="R37" i="1" s="1"/>
  <c r="C36" i="1"/>
  <c r="R36" i="1" s="1"/>
  <c r="C35" i="1"/>
  <c r="R35" i="1" s="1"/>
  <c r="C34" i="1"/>
  <c r="R34" i="1" s="1"/>
  <c r="C33" i="1"/>
  <c r="R33" i="1" s="1"/>
  <c r="C32" i="1"/>
  <c r="R32" i="1" s="1"/>
  <c r="C3" i="1"/>
  <c r="C2" i="2" s="1"/>
  <c r="L14" i="2"/>
  <c r="E14" i="2" s="1"/>
  <c r="K14" i="2" s="1"/>
  <c r="C14" i="2" s="1"/>
  <c r="L45" i="2"/>
  <c r="L38" i="2"/>
  <c r="E38" i="2" s="1"/>
  <c r="K39" i="2" s="1"/>
  <c r="C39" i="2" s="1"/>
  <c r="L7" i="2"/>
  <c r="E7" i="2" s="1"/>
  <c r="L40" i="2"/>
  <c r="E40" i="2" s="1"/>
  <c r="L10" i="2"/>
  <c r="E10" i="2" s="1"/>
  <c r="K10" i="2" s="1"/>
  <c r="C10" i="2" s="1"/>
  <c r="E11" i="2"/>
  <c r="L17" i="2"/>
  <c r="E17" i="2" s="1"/>
  <c r="K17" i="2" s="1"/>
  <c r="C17" i="2" s="1"/>
  <c r="L19" i="2"/>
  <c r="E19" i="2" s="1"/>
  <c r="K19" i="2" s="1"/>
  <c r="C19" i="2" s="1"/>
  <c r="L21" i="2"/>
  <c r="E21" i="2" s="1"/>
  <c r="K21" i="2" s="1"/>
  <c r="C21" i="2" s="1"/>
  <c r="L28" i="2"/>
  <c r="E28" i="2" s="1"/>
  <c r="K28" i="2" s="1"/>
  <c r="C28" i="2" s="1"/>
  <c r="L29" i="2"/>
  <c r="E29" i="2" s="1"/>
  <c r="K29" i="2" s="1"/>
  <c r="C29" i="2" s="1"/>
  <c r="L30" i="2"/>
  <c r="E30" i="2" s="1"/>
  <c r="K30" i="2" s="1"/>
  <c r="C30" i="2" s="1"/>
  <c r="L31" i="2"/>
  <c r="E31" i="2" s="1"/>
  <c r="K31" i="2" s="1"/>
  <c r="C31" i="2" s="1"/>
  <c r="L32" i="2"/>
  <c r="E32" i="2" s="1"/>
  <c r="K32" i="2" s="1"/>
  <c r="C32" i="2" s="1"/>
  <c r="L33" i="2"/>
  <c r="E33" i="2" s="1"/>
  <c r="K33" i="2" s="1"/>
  <c r="C33" i="2" s="1"/>
  <c r="L34" i="2"/>
  <c r="E34" i="2" s="1"/>
  <c r="K34" i="2" s="1"/>
  <c r="C34" i="2" s="1"/>
  <c r="L35" i="2"/>
  <c r="E35" i="2" s="1"/>
  <c r="K35" i="2" s="1"/>
  <c r="C35" i="2" s="1"/>
  <c r="L39" i="2"/>
  <c r="E39" i="2" s="1"/>
  <c r="L43" i="2"/>
  <c r="D43" i="2" s="1"/>
  <c r="J3" i="2"/>
  <c r="C24" i="1"/>
  <c r="W24" i="1" s="1"/>
  <c r="C25" i="1"/>
  <c r="W25" i="1" s="1"/>
  <c r="C26" i="1"/>
  <c r="W26" i="1" s="1"/>
  <c r="C27" i="1"/>
  <c r="W27" i="1" s="1"/>
  <c r="C28" i="1"/>
  <c r="W28" i="1" s="1"/>
  <c r="C49" i="2"/>
  <c r="C29" i="1"/>
  <c r="W29" i="1" l="1"/>
  <c r="M11" i="2" s="1"/>
  <c r="K11" i="2" s="1"/>
  <c r="C11" i="2" s="1"/>
  <c r="R46" i="1"/>
  <c r="M12" i="2" s="1"/>
  <c r="K38" i="2"/>
  <c r="C38" i="2" s="1"/>
  <c r="E5" i="2"/>
  <c r="K40" i="2"/>
  <c r="C40" i="2" s="1"/>
  <c r="E12" i="2"/>
  <c r="K13" i="2" s="1"/>
  <c r="L25" i="2"/>
  <c r="L8" i="2"/>
  <c r="E8" i="2" s="1"/>
  <c r="K8" i="2" s="1"/>
  <c r="C8" i="2" s="1"/>
  <c r="L9" i="2"/>
  <c r="E9" i="2" s="1"/>
  <c r="K9" i="2" s="1"/>
  <c r="C9" i="2" s="1"/>
  <c r="E25" i="2"/>
  <c r="K25" i="2" s="1"/>
  <c r="C25" i="2" s="1"/>
  <c r="K7" i="2"/>
  <c r="C7" i="2" s="1"/>
  <c r="C50" i="2"/>
  <c r="C91" i="1"/>
  <c r="D6" i="1"/>
  <c r="C51" i="2"/>
  <c r="C68" i="1"/>
  <c r="H5" i="1"/>
  <c r="T3" i="1" l="1"/>
  <c r="L46" i="2" s="1"/>
  <c r="F53" i="2" s="1"/>
  <c r="X3" i="1"/>
  <c r="E6" i="2" s="1"/>
  <c r="K12" i="2"/>
  <c r="C12" i="2" s="1"/>
  <c r="L48" i="2" s="1"/>
  <c r="C18" i="1"/>
  <c r="C54" i="1"/>
  <c r="R57" i="1" l="1"/>
  <c r="N57" i="1" s="1"/>
  <c r="C4" i="2" s="1"/>
  <c r="L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表面技術協会５</author>
  </authors>
  <commentList>
    <comment ref="D76" authorId="0" shapeId="0" xr:uid="{00000000-0006-0000-0000-000001000000}">
      <text>
        <r>
          <rPr>
            <sz val="9"/>
            <color indexed="81"/>
            <rFont val="ＭＳ Ｐゴシック"/>
            <family val="3"/>
            <charset val="128"/>
          </rPr>
          <t>大学名，会社名，団体名
などを入力してください。</t>
        </r>
      </text>
    </comment>
    <comment ref="D77" authorId="0" shapeId="0" xr:uid="{00000000-0006-0000-0000-00000200000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<sst xmlns="http://schemas.openxmlformats.org/spreadsheetml/2006/main" count="411" uniqueCount="307">
  <si>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</si>
  <si>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</si>
  <si>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</si>
  <si>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</si>
  <si>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</si>
  <si>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</si>
  <si>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</si>
  <si>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</si>
  <si>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</si>
  <si>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</si>
  <si>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</si>
  <si>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</si>
  <si>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</si>
  <si>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</si>
  <si>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</si>
  <si>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</si>
  <si>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</si>
  <si>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</si>
  <si>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</si>
  <si>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</si>
  <si>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</si>
  <si>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</si>
  <si>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</si>
  <si>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</si>
  <si>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</si>
  <si>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</si>
  <si>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</si>
  <si>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</si>
  <si>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</si>
  <si>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</si>
  <si>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</si>
  <si>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</si>
  <si>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</si>
  <si>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</si>
  <si>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</si>
  <si>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</si>
  <si>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口頭発表</t>
    <rPh sb="0" eb="2">
      <t>コウトウ</t>
    </rPh>
    <rPh sb="2" eb="4">
      <t>ハッピョウ</t>
    </rPh>
    <phoneticPr fontId="2"/>
  </si>
  <si>
    <t>ポスター発表</t>
    <rPh sb="4" eb="6">
      <t>ハッピョウ</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</si>
  <si>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</si>
  <si>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</si>
  <si>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</si>
  <si>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</si>
  <si>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</si>
  <si>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</si>
  <si>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</si>
  <si>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</si>
  <si>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</si>
  <si>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</si>
  <si>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</si>
  <si>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</si>
  <si>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</si>
  <si>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</si>
  <si>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</si>
  <si>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</si>
  <si>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</si>
  <si>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</si>
  <si>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</si>
  <si>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</si>
  <si>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</si>
  <si>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</si>
  <si>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</si>
  <si>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</si>
  <si>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</si>
  <si>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</si>
  <si>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</si>
  <si>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</si>
  <si>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</si>
  <si>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</si>
  <si>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</si>
  <si>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</si>
  <si>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</si>
  <si>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</si>
  <si>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</si>
  <si>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</si>
  <si>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</si>
  <si>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</si>
  <si>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</si>
  <si>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</si>
  <si>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</si>
  <si>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</si>
  <si>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</si>
  <si>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</si>
  <si>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</si>
  <si>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</si>
  <si>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</si>
  <si>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</si>
  <si>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</si>
  <si>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</si>
  <si>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</si>
  <si>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</si>
  <si>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</si>
  <si>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</si>
  <si>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</si>
  <si>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</si>
  <si>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</si>
  <si>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</si>
  <si>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</si>
  <si>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</si>
  <si>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</si>
  <si>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</si>
  <si>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</si>
  <si>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</si>
  <si>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</si>
  <si>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</si>
  <si>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</si>
  <si>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</si>
  <si>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</si>
  <si>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</si>
  <si>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</si>
  <si>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</si>
  <si>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</si>
  <si>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</si>
  <si>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</si>
  <si>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</si>
  <si>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</si>
  <si>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</si>
  <si>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</si>
  <si>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</si>
  <si>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</si>
  <si>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</si>
  <si>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</si>
  <si>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</si>
  <si>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</si>
  <si>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</si>
  <si>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</si>
  <si>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</si>
  <si>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</si>
  <si>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</si>
  <si>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</si>
  <si>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</si>
  <si>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</si>
  <si>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</si>
  <si>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</si>
  <si>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</si>
  <si>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</si>
  <si>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</si>
  <si>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</si>
  <si>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</si>
  <si>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</si>
  <si>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</si>
  <si>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</si>
  <si>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</si>
  <si>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</si>
  <si>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</si>
  <si>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</si>
  <si>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</si>
  <si>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</si>
  <si>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</si>
  <si>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</si>
  <si>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</si>
  <si>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</si>
  <si>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</si>
  <si>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</si>
  <si>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</si>
  <si>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t>
  </si>
  <si>
    <t>02.化学研磨・電解研磨</t>
  </si>
  <si>
    <t>03.化学エッチング・電解エッチング</t>
  </si>
  <si>
    <t>04.気相エッチング</t>
  </si>
  <si>
    <t>05.電解加工</t>
  </si>
  <si>
    <t>06.洗浄</t>
  </si>
  <si>
    <t>07.その他</t>
  </si>
  <si>
    <t>02.検査・品質管理</t>
  </si>
  <si>
    <t>03.作業環境対策</t>
  </si>
  <si>
    <t>04.廃ガス・廃水・廃棄物管理</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</si>
  <si>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</si>
  <si>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</si>
  <si>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</si>
  <si>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</si>
  <si>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</si>
  <si>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</si>
  <si>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</si>
  <si>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</si>
  <si>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</si>
  <si>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</si>
  <si>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</si>
  <si>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</si>
  <si>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</si>
  <si>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</si>
  <si>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</si>
  <si>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</si>
  <si>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</si>
  <si>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</si>
  <si>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</si>
  <si>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</si>
  <si>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</si>
  <si>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</si>
  <si>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</si>
  <si>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</si>
  <si>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</si>
  <si>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</si>
  <si>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</si>
  <si>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01.機械研磨・研削</t>
    <rPh sb="8" eb="9">
      <t>ケン</t>
    </rPh>
    <rPh sb="9" eb="10">
      <t>ケズ</t>
    </rPh>
    <phoneticPr fontId="2"/>
  </si>
  <si>
    <t>03.表面機能応用（触媒・センサーなど）</t>
    <rPh sb="10" eb="12">
      <t>ショクバイ</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</si>
  <si>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</si>
  <si>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</si>
  <si>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</si>
  <si>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</si>
  <si>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</si>
  <si>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</si>
  <si>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</si>
  <si>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</si>
  <si>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</si>
  <si>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</si>
  <si>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</si>
  <si>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</si>
  <si>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</si>
  <si>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</si>
  <si>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</si>
  <si>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</si>
  <si>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</si>
  <si>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02.溶射</t>
    <phoneticPr fontId="2"/>
  </si>
  <si>
    <t>03.溶融めっき</t>
    <phoneticPr fontId="2"/>
  </si>
  <si>
    <t>04.吸着</t>
    <phoneticPr fontId="2"/>
  </si>
  <si>
    <t>05.塗布・塗装</t>
    <phoneticPr fontId="2"/>
  </si>
  <si>
    <t>06.泳動電着</t>
    <phoneticPr fontId="2"/>
  </si>
  <si>
    <t>07.ライニング</t>
    <phoneticPr fontId="2"/>
  </si>
  <si>
    <t>08.イオン注入</t>
    <phoneticPr fontId="2"/>
  </si>
  <si>
    <t>09.拡散被覆</t>
    <phoneticPr fontId="2"/>
  </si>
  <si>
    <t>10.その他</t>
    <phoneticPr fontId="2"/>
  </si>
  <si>
    <t>02.電気めっき・電鋳</t>
    <phoneticPr fontId="2"/>
  </si>
  <si>
    <t>03.無電解めっき</t>
    <phoneticPr fontId="2"/>
  </si>
  <si>
    <t>04.アノード析出</t>
    <phoneticPr fontId="2"/>
  </si>
  <si>
    <t>05.熱分解・ゾル-ゲル法</t>
    <phoneticPr fontId="2"/>
  </si>
  <si>
    <t>07.アノード酸化</t>
    <phoneticPr fontId="2"/>
  </si>
  <si>
    <t>08.化成処理</t>
    <phoneticPr fontId="2"/>
  </si>
  <si>
    <t>09.その他</t>
    <phoneticPr fontId="2"/>
  </si>
  <si>
    <t>04.電析応用（金属微粉など）</t>
    <rPh sb="8" eb="10">
      <t>キンゾク</t>
    </rPh>
    <rPh sb="10" eb="12">
      <t>ビフン</t>
    </rPh>
    <phoneticPr fontId="2"/>
  </si>
  <si>
    <t>07.エネルギー（電池など）</t>
    <rPh sb="9" eb="11">
      <t>デンチ</t>
    </rPh>
    <phoneticPr fontId="2"/>
  </si>
  <si>
    <t>08.その他</t>
    <phoneticPr fontId="2"/>
  </si>
  <si>
    <t>06.熱処理（酸化・窒化・炭化）</t>
    <phoneticPr fontId="2"/>
  </si>
  <si>
    <t>01.プロセス管理（省力・省エネルギー）</t>
    <phoneticPr fontId="2"/>
  </si>
  <si>
    <t>05.資源リサイクル対策</t>
    <rPh sb="10" eb="12">
      <t>タイサク</t>
    </rPh>
    <phoneticPr fontId="2"/>
  </si>
  <si>
    <t>01.化学蒸着（CVD）</t>
    <phoneticPr fontId="2"/>
  </si>
  <si>
    <t>01.物理蒸着（PVD）</t>
    <phoneticPr fontId="2"/>
  </si>
  <si>
    <t>○</t>
  </si>
  <si>
    <t>選んで下さい</t>
  </si>
  <si>
    <t>A．表面の物理的被覆に関わる分野</t>
  </si>
  <si>
    <t>　　A02. 溶射</t>
  </si>
  <si>
    <t>　　A03. 溶融めっき</t>
  </si>
  <si>
    <t>　　A04. 吸着</t>
  </si>
  <si>
    <t>　　A05. 塗布・塗装</t>
  </si>
  <si>
    <t>　　A06. 泳動電着</t>
  </si>
  <si>
    <t>　　A07. ライニング</t>
  </si>
  <si>
    <t>　　A08. イオン注入</t>
  </si>
  <si>
    <t>　　A09. 拡散被覆</t>
  </si>
  <si>
    <t>B．表面の化学的被覆に関わる分野</t>
  </si>
  <si>
    <t>　　B02. 電気めっき・電鋳</t>
  </si>
  <si>
    <t>　　B03. 無電解めっき</t>
  </si>
  <si>
    <t>　　B04. アノード析出</t>
  </si>
  <si>
    <t>　　B07. アノード酸化</t>
  </si>
  <si>
    <t>　　B08. 化成処理</t>
  </si>
  <si>
    <t>C．表面からの物質除去に関わる分野</t>
  </si>
  <si>
    <t>　　C01. 機械研磨・研削</t>
  </si>
  <si>
    <t>　　C02. 化学研磨・電解研磨</t>
  </si>
  <si>
    <t>　　C03. 化学エッチング・電解エッチング</t>
  </si>
  <si>
    <t>　　C04. 気相エッチング</t>
  </si>
  <si>
    <t>　　C05. 電解加工</t>
  </si>
  <si>
    <t>　　C06. 洗浄</t>
  </si>
  <si>
    <t>　　B05. 熱分解・ゾル-ゲル法</t>
  </si>
  <si>
    <t>D．表面処理の実務に関わる分野</t>
  </si>
  <si>
    <t>　　D02. 検査・品質管理</t>
  </si>
  <si>
    <t>　　D03. 作業環境対策</t>
  </si>
  <si>
    <t>　　D04. 廃ガス・廃水・廃棄物対策</t>
  </si>
  <si>
    <t>　　D05. 資源リサイクル対策</t>
  </si>
  <si>
    <t>　　D06. 工場設備・機器・部品</t>
  </si>
  <si>
    <t>　　D07. その他</t>
  </si>
  <si>
    <t>E．表面技術に関連する諸分野</t>
  </si>
  <si>
    <t>　　E01. 表面解析・表面分析</t>
  </si>
  <si>
    <t>　　E02. 表面物性</t>
  </si>
  <si>
    <t>　　E05. 腐食・防食</t>
  </si>
  <si>
    <t>　　E08. その他</t>
  </si>
  <si>
    <t>講演分野の分類</t>
    <phoneticPr fontId="2"/>
  </si>
  <si>
    <t>　　A01. 物理蒸着（PVD）</t>
  </si>
  <si>
    <t>　　D01. プロセス管理（省力・省エネルギー）</t>
  </si>
  <si>
    <t>　　A10. その他（新技術を含む）</t>
  </si>
  <si>
    <t>　　E03. 表面機能応用（触媒，センサーなど）</t>
  </si>
  <si>
    <t>　　B01. 化学蒸着（CVD）</t>
  </si>
  <si>
    <t>　　E04. 電析応用（金属微粉）</t>
  </si>
  <si>
    <t>　　E06. 微細加工プロセス（半導体など）</t>
  </si>
  <si>
    <t>　　E07. エネルギー（電池など）</t>
  </si>
  <si>
    <t>　　B06. 熱処理（酸化・窒化・炭化）</t>
  </si>
  <si>
    <t>　　B09. その他（新技術を含む）</t>
  </si>
  <si>
    <t>　　C07. その他（新技術を含む）</t>
  </si>
  <si>
    <t>西暦で記入して下さい．(例) 2003/6/5</t>
    <rPh sb="0" eb="2">
      <t>セイレキ</t>
    </rPh>
    <rPh sb="3" eb="5">
      <t>キニュウ</t>
    </rPh>
    <rPh sb="7" eb="8">
      <t>クダ</t>
    </rPh>
    <rPh sb="12" eb="13">
      <t>レイ</t>
    </rPh>
    <phoneticPr fontId="2"/>
  </si>
  <si>
    <t>プルダウンメニューまたは別シートに示す講演の分類をご参照のうえ，最も適切と思われる分野を選んで下さい．シンポジウムの申込みもこちらから選んで下さい．</t>
    <rPh sb="12" eb="13">
      <t>ベツ</t>
    </rPh>
    <rPh sb="17" eb="18">
      <t>シメ</t>
    </rPh>
    <rPh sb="19" eb="21">
      <t>コウエン</t>
    </rPh>
    <rPh sb="22" eb="24">
      <t>ブンルイ</t>
    </rPh>
    <rPh sb="26" eb="28">
      <t>サンショウ</t>
    </rPh>
    <rPh sb="32" eb="33">
      <t>モット</t>
    </rPh>
    <rPh sb="34" eb="36">
      <t>テキセツ</t>
    </rPh>
    <rPh sb="37" eb="38">
      <t>オモ</t>
    </rPh>
    <rPh sb="41" eb="43">
      <t>ブンヤ</t>
    </rPh>
    <rPh sb="44" eb="45">
      <t>エラ</t>
    </rPh>
    <rPh sb="47" eb="48">
      <t>クダ</t>
    </rPh>
    <rPh sb="58" eb="60">
      <t>モウシコ</t>
    </rPh>
    <rPh sb="67" eb="68">
      <t>エラ</t>
    </rPh>
    <rPh sb="70" eb="71">
      <t>クダ</t>
    </rPh>
    <phoneticPr fontId="2"/>
  </si>
  <si>
    <t>企画：学術委員会</t>
    <phoneticPr fontId="2"/>
  </si>
  <si>
    <t>企画：界面部会</t>
    <phoneticPr fontId="2"/>
  </si>
  <si>
    <t>関東学院大学</t>
    <rPh sb="0" eb="6">
      <t>カントウガクインダイガク</t>
    </rPh>
    <phoneticPr fontId="2"/>
  </si>
  <si>
    <t>03.高機能性エネルギー材料のための界面制御技術の新展開</t>
    <phoneticPr fontId="2"/>
  </si>
  <si>
    <t>04.エレクトロニクス分野におけるマイクロ・ナノ表面技術の新展開</t>
    <phoneticPr fontId="2"/>
  </si>
  <si>
    <t>05.アノード酸化技術の進展</t>
    <phoneticPr fontId="2"/>
  </si>
  <si>
    <t>第153回講演大会（関東学院大学）シンポジウム講演募集テーマ</t>
    <rPh sb="10" eb="16">
      <t>カントウガクインダイガク</t>
    </rPh>
    <rPh sb="15" eb="16">
      <t>コウダイ</t>
    </rPh>
    <phoneticPr fontId="2"/>
  </si>
  <si>
    <t>S03. 高機能性エネルギー材料のための界面制御技術の新展開</t>
    <phoneticPr fontId="2"/>
  </si>
  <si>
    <t>［趣旨］近年，エネルギーに関する問題が表面化しており，この問題を解決するための技術開発が求められている。様々なエネルギー系材料の開発が進められているが，これらの材料を高機能化するためには，新規材料の創製や異種材料の複合化を効果的に活用する必要があり，このためには，各種材料の界面を制御することが重要となる。本シンポジウムでは，エネルギー系材料を取り扱う研究内容に着目し，本分野で活躍する研究者の研究内容を紹介頂くとともに，本分野に関連する一般講演も行うことで，本分野に関する議論を幅広く展開する。</t>
    <phoneticPr fontId="2"/>
  </si>
  <si>
    <t>S04. エレクトロニクス分野におけるマイクロ・ナノ表面技術の新展開</t>
    <phoneticPr fontId="2"/>
  </si>
  <si>
    <t>企画：表協エレクトロニクス部会</t>
    <phoneticPr fontId="2"/>
  </si>
  <si>
    <t>［趣旨］毎回春季講演大会時に実施している標記部会シンポジウムを継続的に開催し，進展著しい当該分野の最新の情報をタイムリーに提供する。</t>
    <phoneticPr fontId="2"/>
  </si>
  <si>
    <t>S05. アノード酸化技術の進展</t>
    <phoneticPr fontId="2"/>
  </si>
  <si>
    <t>企画：アノード酸化皮膜の機能化部会（ARS）</t>
    <phoneticPr fontId="2"/>
  </si>
  <si>
    <t>［趣旨］アノード酸化の技術は100年を超える歴史があり，アルミニウムやマグネシウムの表面処理による耐食性，耐摩耗性の著しい向上から接合，装飾など幅広く工業的に利用されている。さらに，チタン，鉄・ステンレス鋼などの多孔質アノード酸化皮膜，シリコンや化合物半導体のエッチングなど新たな展開も活発化しており，研究の範囲は現在も拡大を続けている。本シンポジウムでは，アノード酸化の最新の技術について，その機能的応用を含めて依頼講演によりわかりやすく解説いただくとともに，最新の研究成果および技術について幅広く一般講演を募集して討論する。</t>
    <phoneticPr fontId="2"/>
  </si>
  <si>
    <t>01.電池及びその関連分野における表面技術の新展開</t>
    <phoneticPr fontId="2"/>
  </si>
  <si>
    <t>S01. 電池及びその関連分野における表面技術の新展開</t>
    <phoneticPr fontId="2"/>
  </si>
  <si>
    <t>02.環境配慮型表面処理技術の新展開</t>
    <phoneticPr fontId="2"/>
  </si>
  <si>
    <t>［趣旨］第152回講演大会のシンポジウムテーマを引き続いて取り上げる。エネルギー問題が社会的に重要な課題として広く認識される中，電池関連分野で用いられる多様な材料の高度化を支える表面処理技術の重要性が一層高まっている。本シンポジウムでは，電池技術の進展を支える表面技術に焦点を当て，リチウムイオン電池，燃料電池，太陽電池をはじめとする一次電池および二次電池，さらには次世代電池に関連する最新の研究成果について議論する。具体的には，活物質や電極触媒，集電部材といった電池材料の設計，特性評価，形成技術，さらにセル構造の解析・評価技術について取り上げ，材料開発から運用技術までさまざまな視点からのアプローチによる最新の研究成果を紹介・議論することを目的とする。第一線で活躍する研究者による依頼講演に加え，幅広い電池関連技術を対象とした一般講演も期待する。</t>
    <phoneticPr fontId="2"/>
  </si>
  <si>
    <t>S02. 環境配慮型表面処理技術の新展開</t>
    <phoneticPr fontId="2"/>
  </si>
  <si>
    <t xml:space="preserve">［趣旨］近年，環境規制の強化や異常気象，災害によるインフラ被害が深刻化している。表面処理技術は社会基盤を支える重要技術であり，環境調和性や長期安定性が強く求められている。本シンポジウムでは，環境対応型表面処理技術の変遷や社会インフラの現状を依頼講演により解説いただき，環境負荷低減や持続可能性を志向した最新の研究成果と技術開発について幅広く一般講演を募集する。
</t>
    <phoneticPr fontId="2"/>
  </si>
  <si>
    <t>企画：第153回講演大会実行委員会</t>
    <rPh sb="3" eb="4">
      <t>ダイ</t>
    </rPh>
    <rPh sb="7" eb="8">
      <t>カイ</t>
    </rPh>
    <rPh sb="8" eb="12">
      <t>コウエンタイカイ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</si>
</sst>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F800]dddd\,\ mmmm\ dd\,\ yyyy"/>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
      <b/>
      <sz val="14"/>
      <name val="メイリオ"/>
      <family val="3"/>
      <charset val="128"/>
    </font>
    <font>
      <sz val="10"/>
      <name val="メイリオ"/>
      <family val="3"/>
      <charset val="128"/>
    </font>
    <font>
      <b/>
      <sz val="10"/>
      <name val="メイリオ"/>
      <family val="3"/>
      <charset val="128"/>
    </font>
    <font>
      <sz val="9"/>
      <name val="メイリオ"/>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65">
    <xf numFmtId="0" fontId="0" fillId="0" borderId="0" xfId="0"/>
    <xf numFmtId="0" fontId="0" fillId="2" borderId="0" xfId="0" applyFill="1"/>
    <xf numFmtId="0" fontId="0" fillId="2" borderId="0" xfId="0" applyFill="1" applyAlignment="1">
      <alignment horizontal="right"/>
    </xf>
    <xf numFmtId="0" fontId="0" fillId="2" borderId="0" xfId="0" applyFill="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6" borderId="0" xfId="0" applyFill="1"/>
    <xf numFmtId="0" fontId="0" fillId="4" borderId="0" xfId="0" applyFill="1"/>
    <xf numFmtId="0" fontId="0" fillId="6" borderId="0" xfId="0" applyFill="1" applyAlignment="1">
      <alignment horizontal="left"/>
    </xf>
    <xf numFmtId="0" fontId="0" fillId="4" borderId="0" xfId="0" applyFill="1" applyAlignment="1">
      <alignment horizontal="left"/>
    </xf>
    <xf numFmtId="0" fontId="0" fillId="2" borderId="0" xfId="0" applyFill="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xf numFmtId="0" fontId="5" fillId="2" borderId="0" xfId="0" applyFont="1" applyFill="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xf numFmtId="0" fontId="1" fillId="3" borderId="1" xfId="0" applyFont="1" applyFill="1" applyBorder="1" applyAlignment="1">
      <alignment horizontal="right"/>
    </xf>
    <xf numFmtId="0" fontId="3" fillId="5" borderId="0" xfId="0" applyFont="1" applyFill="1" applyAlignment="1">
      <alignment horizontal="center"/>
    </xf>
    <xf numFmtId="0" fontId="10" fillId="5" borderId="0" xfId="0" applyFont="1" applyFill="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lignment horizontal="center"/>
    </xf>
    <xf numFmtId="0" fontId="0" fillId="2" borderId="0" xfId="0" applyFill="1" applyAlignment="1">
      <alignment horizontal="left" wrapText="1"/>
    </xf>
    <xf numFmtId="0" fontId="7" fillId="2" borderId="0" xfId="0" applyFont="1" applyFill="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xf numFmtId="0" fontId="10" fillId="3" borderId="1" xfId="0" applyFont="1" applyFill="1" applyBorder="1" applyAlignment="1">
      <alignment horizontal="center"/>
    </xf>
    <xf numFmtId="0" fontId="10" fillId="2" borderId="0" xfId="0" applyFont="1" applyFill="1" applyAlignment="1">
      <alignment horizontal="center"/>
    </xf>
    <xf numFmtId="0" fontId="10" fillId="3" borderId="11" xfId="0" applyFont="1" applyFill="1" applyBorder="1" applyAlignment="1">
      <alignment horizontal="center"/>
    </xf>
    <xf numFmtId="0" fontId="10" fillId="2" borderId="0" xfId="0" applyFont="1" applyFill="1" applyAlignment="1">
      <alignment horizontal="right"/>
    </xf>
    <xf numFmtId="0" fontId="14" fillId="2" borderId="0" xfId="0" applyFont="1" applyFill="1"/>
    <xf numFmtId="0" fontId="14" fillId="2" borderId="0" xfId="0" applyFont="1" applyFill="1" applyAlignment="1">
      <alignment horizontal="left"/>
    </xf>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Alignment="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Border="1"/>
    <xf numFmtId="0" fontId="1" fillId="2" borderId="1" xfId="0" applyFont="1" applyFill="1" applyBorder="1" applyAlignment="1">
      <alignment horizontal="left"/>
    </xf>
    <xf numFmtId="0" fontId="10" fillId="4" borderId="0" xfId="0" applyFont="1" applyFill="1"/>
    <xf numFmtId="0" fontId="0" fillId="0" borderId="0" xfId="0" applyAlignment="1">
      <alignment horizontal="center"/>
    </xf>
    <xf numFmtId="0" fontId="10" fillId="4" borderId="1" xfId="0" applyFont="1" applyFill="1" applyBorder="1" applyAlignment="1">
      <alignment horizontal="center" vertical="center"/>
    </xf>
    <xf numFmtId="0" fontId="0" fillId="0" borderId="1" xfId="0" applyBorder="1" applyAlignment="1">
      <alignment horizontal="center"/>
    </xf>
    <xf numFmtId="0" fontId="0" fillId="0" borderId="10" xfId="0"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Border="1" applyAlignment="1">
      <alignment shrinkToFit="1"/>
    </xf>
    <xf numFmtId="0" fontId="0" fillId="0" borderId="11" xfId="0" applyBorder="1" applyAlignment="1">
      <alignment shrinkToFit="1"/>
    </xf>
    <xf numFmtId="0" fontId="0" fillId="0" borderId="10" xfId="0" applyBorder="1" applyAlignment="1">
      <alignment horizontal="center" shrinkToFit="1"/>
    </xf>
    <xf numFmtId="0" fontId="0" fillId="0" borderId="10" xfId="0" applyBorder="1" applyAlignment="1">
      <alignment shrinkToFit="1"/>
    </xf>
    <xf numFmtId="0" fontId="0" fillId="0" borderId="0" xfId="0" applyAlignment="1">
      <alignment shrinkToFit="1"/>
    </xf>
    <xf numFmtId="0" fontId="0" fillId="3" borderId="13" xfId="0" applyFill="1" applyBorder="1" applyAlignment="1">
      <alignment shrinkToFit="1"/>
    </xf>
    <xf numFmtId="0" fontId="0" fillId="0" borderId="4" xfId="0" applyBorder="1" applyAlignment="1">
      <alignment shrinkToFit="1"/>
    </xf>
    <xf numFmtId="0" fontId="0" fillId="0" borderId="9" xfId="0" applyBorder="1" applyAlignment="1">
      <alignment horizontal="center" shrinkToFit="1"/>
    </xf>
    <xf numFmtId="0" fontId="4" fillId="0" borderId="1"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xf>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Border="1"/>
    <xf numFmtId="0" fontId="0" fillId="5" borderId="1" xfId="0" applyFill="1" applyBorder="1"/>
    <xf numFmtId="14" fontId="0" fillId="4" borderId="1" xfId="0" applyNumberFormat="1" applyFill="1" applyBorder="1" applyAlignment="1">
      <alignment horizontal="left"/>
    </xf>
    <xf numFmtId="14" fontId="0" fillId="0" borderId="1" xfId="0" applyNumberFormat="1" applyBorder="1" applyAlignment="1">
      <alignment shrinkToFit="1"/>
    </xf>
    <xf numFmtId="0" fontId="4" fillId="2" borderId="1" xfId="0" applyFont="1" applyFill="1" applyBorder="1" applyAlignment="1">
      <alignment horizontal="center"/>
    </xf>
    <xf numFmtId="0" fontId="0" fillId="0" borderId="0" xfId="0" applyAlignment="1">
      <alignment horizontal="center" shrinkToFit="1"/>
    </xf>
    <xf numFmtId="14" fontId="0" fillId="0" borderId="0" xfId="0" applyNumberFormat="1" applyAlignment="1">
      <alignment shrinkToFit="1"/>
    </xf>
    <xf numFmtId="0" fontId="4" fillId="0" borderId="0" xfId="0" applyFont="1" applyAlignment="1">
      <alignment horizontal="center"/>
    </xf>
    <xf numFmtId="0" fontId="4" fillId="0" borderId="0" xfId="0" applyFont="1"/>
    <xf numFmtId="0" fontId="0" fillId="0" borderId="0" xfId="0" applyAlignment="1">
      <alignment horizontal="left"/>
    </xf>
    <xf numFmtId="0" fontId="0" fillId="2" borderId="1" xfId="0" applyFill="1" applyBorder="1" applyAlignment="1">
      <alignment horizontal="center" shrinkToFit="1"/>
    </xf>
    <xf numFmtId="0" fontId="4" fillId="0" borderId="10" xfId="0" applyFont="1" applyBorder="1" applyAlignment="1">
      <alignment horizontal="center" shrinkToFit="1"/>
    </xf>
    <xf numFmtId="0" fontId="4" fillId="0" borderId="1" xfId="0" applyFont="1" applyBorder="1" applyAlignment="1">
      <alignment horizontal="center" shrinkToFit="1"/>
    </xf>
    <xf numFmtId="0" fontId="4" fillId="0" borderId="11" xfId="0" applyFont="1" applyBorder="1" applyAlignment="1">
      <alignment horizontal="center" shrinkToFit="1"/>
    </xf>
    <xf numFmtId="0" fontId="1" fillId="0" borderId="10" xfId="0" applyFont="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19" fillId="0" borderId="0" xfId="0" applyFont="1" applyAlignment="1">
      <alignment horizontal="center"/>
    </xf>
    <xf numFmtId="0" fontId="20" fillId="0" borderId="0" xfId="0" applyFont="1"/>
    <xf numFmtId="0" fontId="21" fillId="0" borderId="0" xfId="0" applyFont="1" applyAlignment="1">
      <alignment horizontal="justify" vertical="center"/>
    </xf>
    <xf numFmtId="0" fontId="21" fillId="0" borderId="0" xfId="0" applyFont="1"/>
    <xf numFmtId="0" fontId="21" fillId="0" borderId="0" xfId="0" applyFont="1" applyAlignment="1">
      <alignment horizontal="justify"/>
    </xf>
    <xf numFmtId="0" fontId="20" fillId="0" borderId="0" xfId="0" applyFont="1" applyAlignment="1">
      <alignment horizontal="right"/>
    </xf>
    <xf numFmtId="0" fontId="10" fillId="2" borderId="8" xfId="0" applyFont="1" applyFill="1" applyBorder="1" applyAlignment="1">
      <alignment horizontal="center"/>
    </xf>
    <xf numFmtId="0" fontId="22" fillId="0" borderId="0" xfId="0" applyFont="1" applyAlignment="1">
      <alignment vertical="top" wrapText="1"/>
    </xf>
    <xf numFmtId="0" fontId="0" fillId="2" borderId="14" xfId="0" applyFill="1" applyBorder="1" applyAlignment="1">
      <alignment horizontal="left"/>
    </xf>
    <xf numFmtId="0" fontId="0" fillId="0" borderId="13" xfId="0" applyBorder="1"/>
    <xf numFmtId="0" fontId="0" fillId="3" borderId="14" xfId="0" applyFill="1" applyBorder="1" applyAlignment="1">
      <alignment horizontal="center"/>
    </xf>
    <xf numFmtId="0" fontId="0" fillId="3" borderId="13" xfId="0" applyFill="1" applyBorder="1" applyAlignment="1">
      <alignment horizontal="center"/>
    </xf>
    <xf numFmtId="0" fontId="0" fillId="3" borderId="1" xfId="0" applyFill="1" applyBorder="1" applyAlignment="1">
      <alignment horizontal="center"/>
    </xf>
    <xf numFmtId="178" fontId="0" fillId="2" borderId="14" xfId="0" applyNumberFormat="1" applyFill="1" applyBorder="1" applyAlignment="1">
      <alignment horizontal="center"/>
    </xf>
    <xf numFmtId="178" fontId="0" fillId="2" borderId="13" xfId="0" applyNumberFormat="1" applyFill="1" applyBorder="1" applyAlignment="1">
      <alignment horizontal="center"/>
    </xf>
    <xf numFmtId="0" fontId="0" fillId="2" borderId="13" xfId="0" applyFill="1" applyBorder="1" applyAlignment="1">
      <alignment horizontal="left"/>
    </xf>
    <xf numFmtId="178" fontId="0" fillId="7" borderId="1" xfId="0" applyNumberFormat="1" applyFill="1" applyBorder="1" applyAlignment="1">
      <alignment horizontal="center"/>
    </xf>
    <xf numFmtId="0" fontId="1" fillId="5" borderId="1"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1" fillId="5" borderId="0" xfId="0" applyFont="1" applyFill="1" applyAlignment="1">
      <alignment horizontal="center"/>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5" fillId="2" borderId="0" xfId="0" applyFont="1" applyFill="1" applyAlignment="1">
      <alignment horizontal="left" vertical="top" wrapText="1" indent="1"/>
    </xf>
    <xf numFmtId="0" fontId="5" fillId="2" borderId="8" xfId="0" applyFont="1" applyFill="1" applyBorder="1" applyAlignment="1">
      <alignment horizontal="left" vertical="top" indent="1"/>
    </xf>
    <xf numFmtId="0" fontId="0" fillId="0" borderId="8" xfId="0" applyBorder="1" applyAlignment="1">
      <alignmen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0" fillId="2" borderId="5" xfId="0" applyFill="1" applyBorder="1" applyAlignment="1">
      <alignment horizontal="center"/>
    </xf>
    <xf numFmtId="0" fontId="0" fillId="2" borderId="0" xfId="0" applyFill="1" applyAlignment="1">
      <alignment horizontal="center"/>
    </xf>
    <xf numFmtId="0" fontId="14" fillId="5" borderId="0" xfId="0" applyFont="1" applyFill="1" applyAlignment="1">
      <alignment horizontal="center"/>
    </xf>
    <xf numFmtId="0" fontId="13" fillId="5" borderId="0" xfId="0" applyFont="1" applyFill="1" applyAlignment="1">
      <alignment horizontal="center"/>
    </xf>
    <xf numFmtId="0" fontId="5" fillId="2" borderId="5" xfId="0" applyFont="1" applyFill="1" applyBorder="1" applyAlignment="1">
      <alignment horizontal="left" vertical="top" wrapText="1" indent="1"/>
    </xf>
    <xf numFmtId="0" fontId="5" fillId="2" borderId="5" xfId="0" applyFont="1" applyFill="1" applyBorder="1" applyAlignment="1">
      <alignment horizontal="left" indent="1"/>
    </xf>
    <xf numFmtId="0" fontId="0" fillId="0" borderId="0" xfId="0"/>
    <xf numFmtId="0" fontId="7" fillId="2" borderId="0" xfId="0" applyFont="1" applyFill="1" applyAlignment="1">
      <alignment horizontal="center"/>
    </xf>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0" fillId="2" borderId="1" xfId="0" applyFill="1" applyBorder="1" applyAlignment="1">
      <alignment horizontal="left"/>
    </xf>
    <xf numFmtId="0" fontId="5" fillId="2" borderId="8" xfId="0" applyFont="1" applyFill="1" applyBorder="1" applyAlignment="1">
      <alignment horizontal="left"/>
    </xf>
    <xf numFmtId="178" fontId="0" fillId="7" borderId="14" xfId="0" applyNumberFormat="1" applyFill="1" applyBorder="1" applyAlignment="1">
      <alignment horizontal="center"/>
    </xf>
    <xf numFmtId="178" fontId="0" fillId="7" borderId="13" xfId="0" applyNumberFormat="1" applyFill="1" applyBorder="1" applyAlignment="1">
      <alignment horizontal="center"/>
    </xf>
    <xf numFmtId="0" fontId="0" fillId="7" borderId="10" xfId="0" applyFill="1" applyBorder="1" applyAlignment="1">
      <alignment horizontal="center"/>
    </xf>
    <xf numFmtId="0" fontId="0" fillId="7" borderId="1" xfId="0" applyFill="1" applyBorder="1" applyAlignment="1">
      <alignment horizontal="center"/>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0" fontId="5" fillId="2" borderId="0" xfId="0" applyFont="1" applyFill="1" applyAlignment="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5" fillId="2" borderId="5" xfId="0" applyFont="1" applyFill="1" applyBorder="1" applyAlignment="1">
      <alignment horizontal="left" vertical="top" wrapText="1" indent="1" shrinkToFit="1"/>
    </xf>
    <xf numFmtId="0" fontId="5" fillId="2" borderId="0" xfId="0" applyFont="1" applyFill="1" applyAlignment="1">
      <alignment horizontal="left" vertical="top" wrapText="1" indent="1" shrinkToFit="1"/>
    </xf>
    <xf numFmtId="0" fontId="5" fillId="2" borderId="3" xfId="0" applyFont="1" applyFill="1" applyBorder="1" applyAlignment="1">
      <alignment horizontal="right" vertical="top"/>
    </xf>
    <xf numFmtId="0" fontId="12" fillId="2" borderId="0" xfId="0" applyFont="1" applyFill="1" applyAlignment="1">
      <alignment horizontal="left" wrapText="1" indent="1"/>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protection locked="0"/>
    </xf>
    <xf numFmtId="0" fontId="15" fillId="4" borderId="0" xfId="1" applyFont="1" applyFill="1" applyBorder="1" applyAlignment="1" applyProtection="1">
      <alignment horizontal="center"/>
      <protection locked="0"/>
    </xf>
    <xf numFmtId="0" fontId="15" fillId="4" borderId="6" xfId="1" applyFont="1" applyFill="1" applyBorder="1" applyAlignment="1" applyProtection="1">
      <alignment horizontal="center"/>
      <protection locked="0"/>
    </xf>
    <xf numFmtId="0" fontId="0" fillId="4" borderId="5" xfId="0" applyFill="1" applyBorder="1" applyAlignment="1">
      <alignment horizontal="left" vertical="top" indent="1"/>
    </xf>
    <xf numFmtId="0" fontId="0" fillId="4" borderId="0" xfId="0" applyFill="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10" fillId="4" borderId="16"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xf numFmtId="0" fontId="22" fillId="0" borderId="0" xfId="0" applyFont="1" applyAlignment="1">
      <alignment horizontal="left" vertical="top" wrapText="1"/>
    </xf>
    <xf numFmtId="0" fontId="19" fillId="0" borderId="0" xfId="0" applyFont="1" applyAlignment="1">
      <alignment horizontal="center"/>
    </xf>
  </cellXfs>
  <cellStyles count="2">
    <cellStyle name="ハイパーリンク" xfId="1" builtinId="8"/>
    <cellStyle name="標準" xfId="0" builtinId="0"/>
  </cellStyles>
  <dxfs count="10">
    <dxf>
      <font>
        <b/>
        <i val="0"/>
        <condense val="0"/>
        <extend val="0"/>
      </font>
    </dxf>
    <dxf>
      <font>
        <b/>
        <i val="0"/>
        <condense val="0"/>
        <extend val="0"/>
        <color indexed="10"/>
      </font>
    </dxf>
    <dxf>
      <font>
        <condense val="0"/>
        <extend val="0"/>
        <color indexed="10"/>
      </font>
      <fill>
        <patternFill>
          <bgColor indexed="9"/>
        </patternFill>
      </fill>
    </dxf>
    <dxf>
      <font>
        <b/>
        <i val="0"/>
        <condense val="0"/>
        <extend val="0"/>
        <color indexed="10"/>
      </font>
    </dxf>
    <dxf>
      <font>
        <condense val="0"/>
        <extend val="0"/>
        <color indexed="22"/>
      </font>
      <fill>
        <patternFill>
          <bgColor indexed="22"/>
        </patternFill>
      </fill>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6"/>
  <sheetViews>
    <sheetView tabSelected="1" zoomScaleNormal="100" workbookViewId="0">
      <selection activeCell="D8" sqref="D8"/>
    </sheetView>
  </sheetViews>
  <sheetFormatPr defaultRowHeight="13.5" x14ac:dyDescent="0.15"/>
  <cols>
    <col min="1" max="2" width="3.75" style="26" customWidth="1"/>
    <col min="3" max="3" width="17.5" style="26" customWidth="1"/>
    <col min="4" max="4" width="30.375" style="26" customWidth="1"/>
    <col min="5" max="7" width="13.75" style="26" customWidth="1"/>
    <col min="8" max="8" width="13.125" style="26" customWidth="1"/>
    <col min="9" max="11" width="3.75" style="26" customWidth="1"/>
    <col min="12" max="12" width="3.75" style="26" hidden="1" customWidth="1"/>
    <col min="13" max="13" width="15.5" style="26" hidden="1" customWidth="1"/>
    <col min="14" max="30" width="9" style="26" hidden="1" customWidth="1"/>
    <col min="31" max="31" width="3.75" style="26" hidden="1" customWidth="1"/>
    <col min="32" max="32" width="9" style="26" customWidth="1"/>
    <col min="33" max="16384" width="9" style="26"/>
  </cols>
  <sheetData>
    <row r="1" spans="1:31" ht="27" customHeight="1" x14ac:dyDescent="0.15">
      <c r="A1" s="27"/>
      <c r="B1" s="27"/>
      <c r="C1" s="27"/>
      <c r="D1" s="27"/>
      <c r="E1" s="27"/>
      <c r="F1" s="27"/>
      <c r="G1" s="27"/>
      <c r="H1" s="27"/>
      <c r="I1" s="27"/>
      <c r="J1" s="27"/>
      <c r="L1"/>
      <c r="M1"/>
      <c r="N1"/>
      <c r="O1"/>
      <c r="P1"/>
      <c r="Q1"/>
      <c r="R1"/>
      <c r="S1"/>
      <c r="T1"/>
      <c r="U1"/>
      <c r="V1"/>
      <c r="W1"/>
      <c r="X1"/>
      <c r="Y1"/>
      <c r="Z1"/>
      <c r="AA1"/>
      <c r="AB1"/>
      <c r="AC1"/>
      <c r="AD1"/>
      <c r="AE1"/>
    </row>
    <row r="2" spans="1:31" x14ac:dyDescent="0.15">
      <c r="A2" s="27"/>
      <c r="B2" s="9"/>
      <c r="C2" s="10"/>
      <c r="D2" s="10"/>
      <c r="E2" s="10"/>
      <c r="F2" s="10"/>
      <c r="G2" s="10"/>
      <c r="H2" s="10"/>
      <c r="I2" s="11"/>
      <c r="J2" s="27"/>
      <c r="L2"/>
      <c r="M2" s="4" t="s">
        <v>42</v>
      </c>
      <c r="N2" s="69" t="s">
        <v>39</v>
      </c>
      <c r="O2" s="4" t="s">
        <v>36</v>
      </c>
      <c r="P2" s="4" t="s">
        <v>37</v>
      </c>
      <c r="Q2" s="68" t="s">
        <v>40</v>
      </c>
      <c r="R2" s="37"/>
      <c r="S2" s="69"/>
      <c r="T2" s="68" t="s">
        <v>41</v>
      </c>
      <c r="U2" s="37"/>
      <c r="V2" s="37"/>
      <c r="W2" s="69"/>
      <c r="X2" s="68" t="s">
        <v>43</v>
      </c>
      <c r="Y2" s="37"/>
      <c r="Z2" s="37"/>
      <c r="AA2" s="69"/>
      <c r="AB2" s="68" t="s">
        <v>50</v>
      </c>
      <c r="AC2" s="69"/>
      <c r="AD2"/>
      <c r="AE2"/>
    </row>
    <row r="3" spans="1:31" ht="17.25" x14ac:dyDescent="0.2">
      <c r="A3" s="27"/>
      <c r="B3" s="12"/>
      <c r="C3" s="177" t="str">
        <f>N63</f>
        <v>一般社団法人表面技術協会　第153回講演大会(関東学院大学)　講演申込書</v>
      </c>
      <c r="D3" s="177"/>
      <c r="E3" s="177"/>
      <c r="F3" s="177"/>
      <c r="G3" s="177"/>
      <c r="H3" s="177"/>
      <c r="I3" s="13"/>
      <c r="J3" s="27"/>
      <c r="L3"/>
      <c r="M3" s="95" t="str">
        <f>N62</f>
        <v>関東学院大学</v>
      </c>
      <c r="N3" s="94"/>
      <c r="O3" s="95" t="str">
        <f>IF(D8="口頭発表", (IF(O5="0", "NG", "OK")), "")</f>
        <v/>
      </c>
      <c r="P3" s="95" t="str">
        <f>IF(D8="ポスター発表", (IF(P5="0", "NG", "OK")), "")</f>
        <v/>
      </c>
      <c r="Q3" s="96" t="str">
        <f>IF(O3="NG", "ファイル名と発表形式が一致しません", (IF( P3="NG", "ファイル名と発表形式が一致しません","")))</f>
        <v/>
      </c>
      <c r="R3" s="94"/>
      <c r="S3" s="97"/>
      <c r="T3" s="96" t="str">
        <f ca="1">IF(H5="","", N5)</f>
        <v/>
      </c>
      <c r="U3" s="94"/>
      <c r="V3" s="94"/>
      <c r="W3" s="97"/>
      <c r="X3" s="98" t="str">
        <f ca="1">IF(H5="","",CONCATENATE(P46, "(", Q46, ")    ", D8,"    受付No. ", N5, "　　"))</f>
        <v/>
      </c>
      <c r="Y3" s="99"/>
      <c r="Z3" s="99"/>
      <c r="AA3" s="100"/>
      <c r="AB3" s="98" t="str">
        <f>P46</f>
        <v>0</v>
      </c>
      <c r="AC3" s="100"/>
      <c r="AD3"/>
      <c r="AE3"/>
    </row>
    <row r="4" spans="1:31" ht="6" customHeight="1" x14ac:dyDescent="0.2">
      <c r="A4" s="27"/>
      <c r="B4" s="12"/>
      <c r="C4" s="54"/>
      <c r="D4" s="54"/>
      <c r="E4" s="54"/>
      <c r="F4" s="54"/>
      <c r="G4" s="54"/>
      <c r="H4" s="54"/>
      <c r="I4" s="13"/>
      <c r="J4" s="27"/>
      <c r="L4"/>
      <c r="M4" s="95"/>
      <c r="N4" s="97"/>
      <c r="O4" s="93"/>
      <c r="P4" s="93"/>
      <c r="Q4" s="96"/>
      <c r="R4" s="94"/>
      <c r="S4" s="97"/>
      <c r="T4" s="96"/>
      <c r="U4" s="94"/>
      <c r="V4" s="94"/>
      <c r="W4" s="97"/>
      <c r="X4" s="101"/>
      <c r="Y4" s="102"/>
      <c r="Z4" s="102"/>
      <c r="AA4" s="103"/>
      <c r="AB4" s="101"/>
      <c r="AC4" s="103"/>
      <c r="AD4"/>
      <c r="AE4"/>
    </row>
    <row r="5" spans="1:31" ht="16.5" thickBot="1" x14ac:dyDescent="0.3">
      <c r="A5" s="27"/>
      <c r="B5" s="12"/>
      <c r="C5" s="55"/>
      <c r="D5" s="191" t="str">
        <f ca="1" xml:space="preserve"> N53</f>
        <v>講演申込締切 :2025年12月10日(水)厳守</v>
      </c>
      <c r="E5" s="192"/>
      <c r="F5" s="192"/>
      <c r="G5" s="57" t="s">
        <v>27</v>
      </c>
      <c r="H5" s="64" t="str">
        <f ca="1">IF(O5+P5=0,"",O5+P5)</f>
        <v/>
      </c>
      <c r="I5" s="13"/>
      <c r="J5" s="27"/>
      <c r="L5"/>
      <c r="M5" s="106" t="str">
        <f>CONCATENATE(N61,"回講演大会")</f>
        <v>153回講演大会</v>
      </c>
      <c r="N5" s="105" t="str">
        <f ca="1">MID(CELL("filename",A1), FIND("[",CELL("filename",A1))+1, FIND("]",CELL("filename",A1))-FIND("[",CELL("filename",A1))-6)</f>
        <v>SFJ2026S</v>
      </c>
      <c r="O5" s="106">
        <f ca="1">IF(LEN(N5)=3,(IF(LEFT(N5,1)="ポ","0", VALUE(N5))),0)</f>
        <v>0</v>
      </c>
      <c r="P5" s="106">
        <f ca="1">IF(LEN(N5)=3,(IF(LEFT(N5,1)="ポ",VALUE(MID(N5,2,2)),"0")),0)</f>
        <v>0</v>
      </c>
      <c r="Q5" s="107"/>
      <c r="R5" s="108"/>
      <c r="S5" s="109"/>
      <c r="T5" s="110" t="str">
        <f ca="1">MID(CELL("filename",G1), FIND("[",CELL("filename",G1))+1, FIND("]",CELL("filename",G1))-FIND("[",CELL("filename",G1))-1)</f>
        <v>SFJ2026S.xlsx</v>
      </c>
      <c r="U5" s="108"/>
      <c r="V5" s="108"/>
      <c r="W5" s="109"/>
      <c r="X5" s="107"/>
      <c r="Y5" s="108"/>
      <c r="Z5" s="108"/>
      <c r="AA5" s="109"/>
      <c r="AB5" s="101" t="str">
        <f>Q46</f>
        <v>で下さい</v>
      </c>
      <c r="AC5" s="103"/>
      <c r="AD5"/>
      <c r="AE5"/>
    </row>
    <row r="6" spans="1:31" ht="14.25" thickTop="1" x14ac:dyDescent="0.15">
      <c r="A6" s="27"/>
      <c r="B6" s="14"/>
      <c r="C6" s="15"/>
      <c r="D6" s="197" t="str">
        <f ca="1">N54</f>
        <v/>
      </c>
      <c r="E6" s="197"/>
      <c r="F6" s="197"/>
      <c r="G6" s="15"/>
      <c r="H6" s="15"/>
      <c r="I6" s="16"/>
      <c r="J6" s="27"/>
      <c r="L6"/>
      <c r="M6"/>
      <c r="N6"/>
      <c r="O6"/>
      <c r="P6"/>
      <c r="Q6"/>
      <c r="R6"/>
      <c r="S6"/>
      <c r="T6"/>
      <c r="U6"/>
      <c r="V6"/>
      <c r="W6"/>
      <c r="X6"/>
      <c r="Y6"/>
      <c r="Z6"/>
      <c r="AA6"/>
      <c r="AB6"/>
      <c r="AC6"/>
      <c r="AD6"/>
      <c r="AE6"/>
    </row>
    <row r="7" spans="1:31" x14ac:dyDescent="0.15">
      <c r="A7" s="27"/>
      <c r="B7" s="17"/>
      <c r="C7" s="18"/>
      <c r="D7" s="18"/>
      <c r="E7" s="198" t="str">
        <f>S7</f>
        <v>口頭発表(一般講演，シンポジウム)または，ポスター発表のいずれかを選んでください．ポスター発表を選択した場合，講演種別，講演分類記号の入力をする必要はありません．</v>
      </c>
      <c r="F7" s="199"/>
      <c r="G7" s="199"/>
      <c r="H7" s="199"/>
      <c r="I7" s="19"/>
      <c r="J7" s="27"/>
      <c r="L7"/>
      <c r="M7" s="4" t="s">
        <v>51</v>
      </c>
      <c r="N7" s="72" t="s">
        <v>4</v>
      </c>
      <c r="O7" s="72" t="s">
        <v>36</v>
      </c>
      <c r="P7" s="72" t="s">
        <v>37</v>
      </c>
      <c r="Q7" t="s">
        <v>126</v>
      </c>
      <c r="R7" s="4" t="s">
        <v>119</v>
      </c>
      <c r="S7" s="72" t="str">
        <f>IF(N64=Q64,"口頭発表(一般講演，シンポジウム)または，ポスター発表のいずれかを選んでください．ポスター発表を選択した場合，講演種別，講演分類記号の入力をする必要はありません．","")</f>
        <v>口頭発表(一般講演，シンポジウム)または，ポスター発表のいずれかを選んでください．ポスター発表を選択した場合，講演種別，講演分類記号の入力をする必要はありません．</v>
      </c>
      <c r="T7" s="114" t="s">
        <v>126</v>
      </c>
      <c r="U7" s="114"/>
      <c r="V7" s="114"/>
      <c r="W7"/>
      <c r="X7"/>
      <c r="Y7"/>
      <c r="Z7"/>
      <c r="AA7"/>
      <c r="AB7"/>
      <c r="AC7"/>
      <c r="AD7"/>
      <c r="AE7"/>
    </row>
    <row r="8" spans="1:31" ht="15" customHeight="1" x14ac:dyDescent="0.15">
      <c r="A8" s="27"/>
      <c r="B8" s="20"/>
      <c r="C8" s="75" t="s">
        <v>51</v>
      </c>
      <c r="D8" s="61" t="s">
        <v>4</v>
      </c>
      <c r="E8" s="200"/>
      <c r="F8" s="200"/>
      <c r="G8" s="200"/>
      <c r="H8" s="200"/>
      <c r="I8" s="21"/>
      <c r="J8" s="27"/>
      <c r="L8"/>
      <c r="M8"/>
      <c r="N8" s="52"/>
      <c r="O8"/>
      <c r="P8"/>
      <c r="Q8"/>
      <c r="R8"/>
      <c r="S8"/>
      <c r="T8"/>
      <c r="U8"/>
      <c r="V8"/>
      <c r="W8"/>
      <c r="X8"/>
      <c r="Y8"/>
      <c r="Z8"/>
      <c r="AA8"/>
      <c r="AB8"/>
      <c r="AC8"/>
      <c r="AD8"/>
      <c r="AE8"/>
    </row>
    <row r="9" spans="1:31" ht="14.25" x14ac:dyDescent="0.15">
      <c r="A9" s="27"/>
      <c r="B9" s="20"/>
      <c r="C9" s="161"/>
      <c r="D9" s="23"/>
      <c r="E9" s="200"/>
      <c r="F9" s="200"/>
      <c r="G9" s="200"/>
      <c r="H9" s="200"/>
      <c r="I9" s="21"/>
      <c r="J9" s="27"/>
      <c r="L9"/>
      <c r="M9" s="4" t="s">
        <v>108</v>
      </c>
      <c r="N9" s="72" t="s">
        <v>4</v>
      </c>
      <c r="O9" s="72" t="s">
        <v>2</v>
      </c>
      <c r="P9" s="72" t="s">
        <v>3</v>
      </c>
      <c r="Q9"/>
      <c r="R9"/>
      <c r="S9"/>
      <c r="T9"/>
      <c r="U9"/>
      <c r="V9"/>
      <c r="W9"/>
      <c r="X9"/>
      <c r="Y9"/>
      <c r="Z9"/>
      <c r="AA9"/>
      <c r="AB9"/>
      <c r="AC9"/>
      <c r="AD9"/>
      <c r="AE9"/>
    </row>
    <row r="10" spans="1:31" ht="15" customHeight="1" x14ac:dyDescent="0.15">
      <c r="A10" s="27"/>
      <c r="B10" s="20"/>
      <c r="C10" s="75" t="s">
        <v>52</v>
      </c>
      <c r="D10" s="61" t="s">
        <v>4</v>
      </c>
      <c r="E10" s="180" t="s">
        <v>30</v>
      </c>
      <c r="F10" s="180"/>
      <c r="G10" s="180"/>
      <c r="H10" s="180"/>
      <c r="I10" s="21"/>
      <c r="J10" s="27"/>
      <c r="L10"/>
      <c r="M10"/>
      <c r="N10"/>
      <c r="O10"/>
      <c r="P10"/>
      <c r="Q10"/>
      <c r="R10"/>
      <c r="S10"/>
      <c r="T10"/>
      <c r="U10"/>
      <c r="V10"/>
      <c r="W10"/>
      <c r="X10"/>
      <c r="Y10"/>
      <c r="Z10"/>
      <c r="AA10"/>
      <c r="AB10"/>
      <c r="AC10"/>
      <c r="AD10"/>
      <c r="AE10"/>
    </row>
    <row r="11" spans="1:31" ht="14.25" x14ac:dyDescent="0.15">
      <c r="A11" s="27"/>
      <c r="B11" s="20"/>
      <c r="C11" s="76"/>
      <c r="D11" s="1"/>
      <c r="E11" s="180"/>
      <c r="F11" s="180"/>
      <c r="G11" s="180"/>
      <c r="H11" s="180"/>
      <c r="I11" s="21"/>
      <c r="J11" s="27"/>
      <c r="L11"/>
      <c r="M11" s="4" t="s">
        <v>109</v>
      </c>
      <c r="N11" s="72" t="s">
        <v>4</v>
      </c>
      <c r="O11" s="91" t="s">
        <v>194</v>
      </c>
      <c r="P11" s="91" t="s">
        <v>195</v>
      </c>
      <c r="Q11" s="91" t="s">
        <v>196</v>
      </c>
      <c r="R11" s="91" t="s">
        <v>189</v>
      </c>
      <c r="S11" s="91" t="s">
        <v>197</v>
      </c>
      <c r="T11" s="91" t="s">
        <v>190</v>
      </c>
      <c r="U11" s="91"/>
      <c r="V11" t="s">
        <v>126</v>
      </c>
      <c r="W11"/>
      <c r="X11"/>
      <c r="Y11"/>
      <c r="Z11"/>
      <c r="AA11"/>
      <c r="AB11"/>
      <c r="AC11"/>
      <c r="AD11"/>
      <c r="AE11"/>
    </row>
    <row r="12" spans="1:31" ht="15" customHeight="1" x14ac:dyDescent="0.15">
      <c r="A12" s="27"/>
      <c r="B12" s="20"/>
      <c r="C12" s="77" t="s">
        <v>205</v>
      </c>
      <c r="D12" s="62" t="s">
        <v>4</v>
      </c>
      <c r="E12" s="193" t="s">
        <v>284</v>
      </c>
      <c r="F12" s="180"/>
      <c r="G12" s="180"/>
      <c r="H12" s="180"/>
      <c r="I12" s="21"/>
      <c r="J12" s="27"/>
      <c r="L12"/>
      <c r="M12" s="68" t="s">
        <v>110</v>
      </c>
      <c r="N12" s="72"/>
      <c r="O12" s="72" t="str">
        <f>IF(D12=O11,O13,IF(D12=P11,O14,IF(D12=Q11,O15,IF(D12=R11,O16,IF(D12=S11,O17,(IF(D12=T11,O18,IF(D12=U11,O19,"選んで下さい"))))))))</f>
        <v>選んで下さい</v>
      </c>
      <c r="P12" s="72" t="str">
        <f>IF(D12=O11,P13,IF(D12=P11,P14,IF(D12=Q11,P15,IF(D12=R11,P16,IF(D12=S11,P17,(IF(D12=T11,P18,IF(D12=U11,P19,"選んで下さい"))))))))</f>
        <v>選んで下さい</v>
      </c>
      <c r="Q12" s="72" t="str">
        <f>IF(D12=O11,Q13,IF(D12=P11,Q14,IF(D12=Q11,Q15,IF(D12=R11,Q16,IF(D12=S11,Q17,(IF(D12=T11,Q18,IF(D12=U11,Q19,"選んで下さい"))))))))</f>
        <v>選んで下さい</v>
      </c>
      <c r="R12" s="72" t="str">
        <f>IF(D12=O11,R13,IF(D12=P11,R14,IF(D12=Q11,R15,IF(D12=R11,R16,IF(D12=S11,R17,(IF(D12=T11,R18,IF(D12=U11,R19,"選んで下さい"))))))))</f>
        <v>選んで下さい</v>
      </c>
      <c r="S12" s="72" t="str">
        <f>IF(D12=O11,S13,IF(D12=P11,S14,IF(D12=Q11,S15,IF(D12=R11,S16,IF(D12=S11,S17,(IF(D12=T11,S18,IF(D12=U11,S19,"選んで下さい"))))))))</f>
        <v>選んで下さい</v>
      </c>
      <c r="T12" s="72" t="str">
        <f>IF(D12=O11,T13,IF(D12=P11,T14,IF(D12=Q11,T15,IF(D12=R11,T16,IF(D12=S11,T17,(IF(D12=T11,T18,IF(D12=U11,T19,"選んで下さい"))))))))</f>
        <v>選んで下さい</v>
      </c>
      <c r="U12" s="72" t="str">
        <f>IF(D12=O11,U13,IF(D12=P11,U14,IF(D12=Q11,U15,IF(D12=R11,U16,IF(D12=S11,U17,(IF(D12=T11,U18,IF(D12=U11,U19,"選んで下さい"))))))))</f>
        <v>選んで下さい</v>
      </c>
      <c r="V12" s="72" t="str">
        <f>IF(D12=O11,V13,IF(D12=P11,V14,IF(D12=Q11,V15,IF(D12=R11,V16,IF(D12=S11,V17,(IF(D12=T11,V18,IF(D12=U11,V19,"選んで下さい"))))))))</f>
        <v>選んで下さい</v>
      </c>
      <c r="W12" s="72" t="str">
        <f>IF(D12=O11,W13,IF(D12=P11,W14,IF(D12=Q11,W15,IF(D12=R11,W16,IF(D12=S11,W17,(IF(D12=T11,W18,IF(D12=U11,W19,"選んで下さい"))))))))</f>
        <v>選んで下さい</v>
      </c>
      <c r="X12" s="72" t="str">
        <f>IF(D12=O11,X13,IF(D12=P11,X14,IF(D12=Q11,X15,IF(D12=R11,X16,IF(D12=S11,X17,(IF(D12=T11,X18,IF(D12=U11,X19,"選んで下さい"))))))))</f>
        <v>選んで下さい</v>
      </c>
      <c r="Y12" t="s">
        <v>126</v>
      </c>
      <c r="Z12"/>
      <c r="AA12"/>
      <c r="AB12"/>
      <c r="AC12"/>
      <c r="AD12"/>
      <c r="AE12"/>
    </row>
    <row r="13" spans="1:31" ht="15" customHeight="1" x14ac:dyDescent="0.15">
      <c r="A13" s="27"/>
      <c r="B13" s="20"/>
      <c r="C13" s="75" t="s">
        <v>206</v>
      </c>
      <c r="D13" s="62" t="s">
        <v>235</v>
      </c>
      <c r="E13" s="193"/>
      <c r="F13" s="180"/>
      <c r="G13" s="180"/>
      <c r="H13" s="180"/>
      <c r="I13" s="21"/>
      <c r="J13" s="27"/>
      <c r="L13"/>
      <c r="M13"/>
      <c r="N13" s="6" t="str">
        <f>LEFT(O11,2)</f>
        <v>Ｓ．</v>
      </c>
      <c r="O13" s="72" t="s">
        <v>300</v>
      </c>
      <c r="P13" s="72" t="s">
        <v>302</v>
      </c>
      <c r="Q13" s="72" t="s">
        <v>288</v>
      </c>
      <c r="R13" s="72" t="s">
        <v>289</v>
      </c>
      <c r="S13" s="72" t="s">
        <v>290</v>
      </c>
      <c r="T13" s="72" t="s">
        <v>35</v>
      </c>
      <c r="U13" s="72" t="s">
        <v>35</v>
      </c>
      <c r="V13" s="72" t="s">
        <v>35</v>
      </c>
      <c r="W13" s="72" t="s">
        <v>35</v>
      </c>
      <c r="X13" s="72" t="s">
        <v>35</v>
      </c>
      <c r="Y13"/>
      <c r="Z13"/>
      <c r="AA13"/>
      <c r="AB13"/>
      <c r="AC13"/>
      <c r="AD13"/>
      <c r="AE13"/>
    </row>
    <row r="14" spans="1:31" ht="14.25" x14ac:dyDescent="0.15">
      <c r="A14" s="27"/>
      <c r="B14" s="20"/>
      <c r="C14" s="76"/>
      <c r="D14" s="1"/>
      <c r="E14" s="1"/>
      <c r="F14" s="1"/>
      <c r="G14" s="1"/>
      <c r="H14" s="1"/>
      <c r="I14" s="21"/>
      <c r="J14" s="27"/>
      <c r="L14"/>
      <c r="M14"/>
      <c r="N14" s="6" t="str">
        <f>LEFT(P11,2)</f>
        <v>Ａ．</v>
      </c>
      <c r="O14" s="72" t="s">
        <v>233</v>
      </c>
      <c r="P14" s="72" t="s">
        <v>210</v>
      </c>
      <c r="Q14" s="72" t="s">
        <v>211</v>
      </c>
      <c r="R14" s="72" t="s">
        <v>212</v>
      </c>
      <c r="S14" s="72" t="s">
        <v>213</v>
      </c>
      <c r="T14" s="72" t="s">
        <v>214</v>
      </c>
      <c r="U14" s="72" t="s">
        <v>215</v>
      </c>
      <c r="V14" s="72" t="s">
        <v>216</v>
      </c>
      <c r="W14" s="72" t="s">
        <v>217</v>
      </c>
      <c r="X14" s="72" t="s">
        <v>218</v>
      </c>
      <c r="Y14"/>
      <c r="Z14"/>
      <c r="AA14"/>
      <c r="AB14"/>
      <c r="AC14"/>
      <c r="AD14"/>
      <c r="AE14"/>
    </row>
    <row r="15" spans="1:31" x14ac:dyDescent="0.15">
      <c r="A15" s="27"/>
      <c r="B15" s="20"/>
      <c r="C15" s="178" t="s">
        <v>53</v>
      </c>
      <c r="D15" s="183"/>
      <c r="E15" s="184"/>
      <c r="F15" s="184"/>
      <c r="G15" s="184"/>
      <c r="H15" s="185"/>
      <c r="I15" s="21"/>
      <c r="J15" s="27"/>
      <c r="L15"/>
      <c r="M15"/>
      <c r="N15" s="6" t="str">
        <f>LEFT(Q11,2)</f>
        <v>Ｂ．</v>
      </c>
      <c r="O15" s="72" t="s">
        <v>232</v>
      </c>
      <c r="P15" s="72" t="s">
        <v>219</v>
      </c>
      <c r="Q15" s="72" t="s">
        <v>220</v>
      </c>
      <c r="R15" s="72" t="s">
        <v>221</v>
      </c>
      <c r="S15" s="72" t="s">
        <v>222</v>
      </c>
      <c r="T15" s="72" t="s">
        <v>229</v>
      </c>
      <c r="U15" s="72" t="s">
        <v>223</v>
      </c>
      <c r="V15" s="72" t="s">
        <v>224</v>
      </c>
      <c r="W15" s="72" t="s">
        <v>225</v>
      </c>
      <c r="X15" s="72" t="s">
        <v>154</v>
      </c>
      <c r="Y15"/>
      <c r="Z15"/>
      <c r="AA15"/>
      <c r="AB15"/>
      <c r="AC15"/>
      <c r="AD15"/>
      <c r="AE15"/>
    </row>
    <row r="16" spans="1:31" x14ac:dyDescent="0.15">
      <c r="A16" s="27"/>
      <c r="B16" s="20"/>
      <c r="C16" s="179"/>
      <c r="D16" s="186"/>
      <c r="E16" s="187"/>
      <c r="F16" s="187"/>
      <c r="G16" s="187"/>
      <c r="H16" s="188"/>
      <c r="I16" s="21"/>
      <c r="J16" s="27"/>
      <c r="L16"/>
      <c r="M16"/>
      <c r="N16" s="6" t="str">
        <f>LEFT(R11,2)</f>
        <v>Ｃ．</v>
      </c>
      <c r="O16" s="72" t="s">
        <v>191</v>
      </c>
      <c r="P16" s="72" t="s">
        <v>155</v>
      </c>
      <c r="Q16" s="72" t="s">
        <v>156</v>
      </c>
      <c r="R16" s="72" t="s">
        <v>157</v>
      </c>
      <c r="S16" s="72" t="s">
        <v>158</v>
      </c>
      <c r="T16" s="72" t="s">
        <v>159</v>
      </c>
      <c r="U16" s="72" t="s">
        <v>160</v>
      </c>
      <c r="V16" s="72" t="s">
        <v>154</v>
      </c>
      <c r="W16" s="72" t="s">
        <v>154</v>
      </c>
      <c r="X16" s="72" t="s">
        <v>154</v>
      </c>
      <c r="Y16"/>
      <c r="Z16"/>
      <c r="AA16"/>
      <c r="AB16"/>
      <c r="AC16"/>
      <c r="AD16"/>
      <c r="AE16"/>
    </row>
    <row r="17" spans="1:31" x14ac:dyDescent="0.15">
      <c r="A17" s="27"/>
      <c r="B17" s="20"/>
      <c r="C17" s="1"/>
      <c r="D17" s="1"/>
      <c r="E17" s="1"/>
      <c r="F17" s="1"/>
      <c r="G17" s="1"/>
      <c r="H17" s="1"/>
      <c r="I17" s="21"/>
      <c r="J17" s="27"/>
      <c r="L17"/>
      <c r="M17"/>
      <c r="N17" s="6" t="str">
        <f>LEFT(S11,2)</f>
        <v>Ｄ．</v>
      </c>
      <c r="O17" s="72" t="s">
        <v>230</v>
      </c>
      <c r="P17" s="72" t="s">
        <v>161</v>
      </c>
      <c r="Q17" s="72" t="s">
        <v>162</v>
      </c>
      <c r="R17" s="72" t="s">
        <v>163</v>
      </c>
      <c r="S17" s="72" t="s">
        <v>231</v>
      </c>
      <c r="T17" s="72" t="s">
        <v>164</v>
      </c>
      <c r="U17" s="72" t="s">
        <v>160</v>
      </c>
      <c r="V17" s="72" t="s">
        <v>154</v>
      </c>
      <c r="W17" s="72" t="s">
        <v>154</v>
      </c>
      <c r="X17" s="72" t="s">
        <v>154</v>
      </c>
      <c r="Y17"/>
      <c r="Z17"/>
      <c r="AA17"/>
      <c r="AB17"/>
      <c r="AC17"/>
      <c r="AD17"/>
      <c r="AE17"/>
    </row>
    <row r="18" spans="1:31" x14ac:dyDescent="0.15">
      <c r="A18" s="27"/>
      <c r="B18" s="20"/>
      <c r="C18" s="196" t="str">
        <f ca="1">N56</f>
        <v/>
      </c>
      <c r="D18" s="196"/>
      <c r="E18" s="196"/>
      <c r="F18" s="196"/>
      <c r="G18" s="196"/>
      <c r="H18" s="196"/>
      <c r="I18" s="21"/>
      <c r="J18" s="27"/>
      <c r="L18"/>
      <c r="M18"/>
      <c r="N18" s="6" t="str">
        <f>LEFT(T11,2)</f>
        <v>Ｅ．</v>
      </c>
      <c r="O18" s="72" t="s">
        <v>165</v>
      </c>
      <c r="P18" s="72" t="s">
        <v>166</v>
      </c>
      <c r="Q18" s="72" t="s">
        <v>192</v>
      </c>
      <c r="R18" s="72" t="s">
        <v>226</v>
      </c>
      <c r="S18" s="72" t="s">
        <v>167</v>
      </c>
      <c r="T18" s="72" t="s">
        <v>193</v>
      </c>
      <c r="U18" s="72" t="s">
        <v>227</v>
      </c>
      <c r="V18" s="72" t="s">
        <v>228</v>
      </c>
      <c r="W18" s="72" t="s">
        <v>154</v>
      </c>
      <c r="X18" s="72" t="s">
        <v>154</v>
      </c>
      <c r="Y18"/>
      <c r="Z18" s="4" t="s">
        <v>174</v>
      </c>
      <c r="AA18" s="139" t="str">
        <f>IF(D20=N20, "エラー","OK")</f>
        <v>エラー</v>
      </c>
      <c r="AB18"/>
      <c r="AC18"/>
      <c r="AD18"/>
      <c r="AE18"/>
    </row>
    <row r="19" spans="1:31" ht="14.25" x14ac:dyDescent="0.15">
      <c r="A19" s="27"/>
      <c r="B19" s="20"/>
      <c r="C19" s="79" t="s">
        <v>8</v>
      </c>
      <c r="D19" s="1"/>
      <c r="E19" s="1"/>
      <c r="F19" s="1"/>
      <c r="G19" s="1"/>
      <c r="H19" s="1"/>
      <c r="I19" s="21"/>
      <c r="J19" s="27"/>
      <c r="L19"/>
      <c r="M19"/>
      <c r="N19" s="6" t="str">
        <f>LEFT(U11,2)</f>
        <v/>
      </c>
      <c r="O19" s="72"/>
      <c r="P19" s="72"/>
      <c r="Q19" s="72"/>
      <c r="R19" s="72"/>
      <c r="S19" s="72"/>
      <c r="T19" s="72"/>
      <c r="U19" s="72"/>
      <c r="V19" s="72"/>
      <c r="W19" s="72"/>
      <c r="X19" s="72"/>
      <c r="Y19"/>
      <c r="Z19" s="114" t="s">
        <v>175</v>
      </c>
      <c r="AA19"/>
      <c r="AB19"/>
      <c r="AC19"/>
      <c r="AD19"/>
      <c r="AE19"/>
    </row>
    <row r="20" spans="1:31" ht="15" customHeight="1" x14ac:dyDescent="0.15">
      <c r="A20" s="27"/>
      <c r="B20" s="20"/>
      <c r="C20" s="75" t="s">
        <v>10</v>
      </c>
      <c r="D20" s="61" t="s">
        <v>4</v>
      </c>
      <c r="E20" s="180" t="s">
        <v>26</v>
      </c>
      <c r="F20" s="180"/>
      <c r="G20" s="180"/>
      <c r="H20" s="180"/>
      <c r="I20" s="21"/>
      <c r="J20" s="27"/>
      <c r="L20"/>
      <c r="M20" s="4" t="s">
        <v>44</v>
      </c>
      <c r="N20" s="72" t="s">
        <v>4</v>
      </c>
      <c r="O20" s="72">
        <v>1</v>
      </c>
      <c r="P20" s="72">
        <v>2</v>
      </c>
      <c r="Q20" s="72">
        <v>3</v>
      </c>
      <c r="R20" s="72">
        <v>4</v>
      </c>
      <c r="S20" s="72">
        <v>5</v>
      </c>
      <c r="T20" s="72">
        <v>6</v>
      </c>
      <c r="U20" s="72">
        <v>7</v>
      </c>
      <c r="V20" s="72">
        <v>8</v>
      </c>
      <c r="W20" s="72">
        <v>9</v>
      </c>
      <c r="X20" s="72">
        <v>10</v>
      </c>
      <c r="Y20" s="72">
        <v>11</v>
      </c>
      <c r="Z20" s="72">
        <v>12</v>
      </c>
      <c r="AA20" s="72">
        <v>13</v>
      </c>
      <c r="AB20" s="72">
        <v>14</v>
      </c>
      <c r="AC20" s="72">
        <v>15</v>
      </c>
      <c r="AD20" s="72" t="s">
        <v>20</v>
      </c>
      <c r="AE20"/>
    </row>
    <row r="21" spans="1:31" ht="14.25" x14ac:dyDescent="0.15">
      <c r="A21" s="27"/>
      <c r="B21" s="20"/>
      <c r="C21" s="78"/>
      <c r="D21" s="1"/>
      <c r="E21" s="180"/>
      <c r="F21" s="180"/>
      <c r="G21" s="180"/>
      <c r="H21" s="180"/>
      <c r="I21" s="21"/>
      <c r="J21" s="27"/>
      <c r="L21"/>
      <c r="M21"/>
      <c r="N21"/>
      <c r="O21"/>
      <c r="P21"/>
      <c r="Q21"/>
      <c r="R21"/>
      <c r="S21"/>
      <c r="T21"/>
      <c r="U21"/>
      <c r="V21"/>
      <c r="W21"/>
      <c r="X21"/>
      <c r="Y21"/>
      <c r="Z21"/>
      <c r="AA21"/>
      <c r="AB21"/>
      <c r="AC21"/>
      <c r="AD21"/>
      <c r="AE21"/>
    </row>
    <row r="22" spans="1:31" ht="15" customHeight="1" x14ac:dyDescent="0.15">
      <c r="A22" s="27"/>
      <c r="B22" s="20"/>
      <c r="C22" s="75" t="s">
        <v>32</v>
      </c>
      <c r="D22" s="61" t="s">
        <v>4</v>
      </c>
      <c r="E22" s="180" t="s">
        <v>33</v>
      </c>
      <c r="F22" s="180"/>
      <c r="G22" s="180"/>
      <c r="H22" s="180"/>
      <c r="I22" s="21"/>
      <c r="J22" s="27"/>
      <c r="L22"/>
      <c r="M22" s="4" t="s">
        <v>32</v>
      </c>
      <c r="N22" s="72" t="s">
        <v>4</v>
      </c>
      <c r="O22" s="72">
        <v>1</v>
      </c>
      <c r="P22" s="72">
        <v>2</v>
      </c>
      <c r="Q22" s="72">
        <v>3</v>
      </c>
      <c r="R22" s="72">
        <v>4</v>
      </c>
      <c r="S22" s="72">
        <v>5</v>
      </c>
      <c r="T22" s="72" t="s">
        <v>21</v>
      </c>
      <c r="U22"/>
      <c r="V22" s="4" t="s">
        <v>174</v>
      </c>
      <c r="W22" s="139" t="str">
        <f>IF(D22=N22, "エラー","OK")</f>
        <v>エラー</v>
      </c>
      <c r="X22"/>
      <c r="Y22"/>
      <c r="Z22"/>
      <c r="AA22"/>
      <c r="AB22"/>
      <c r="AC22"/>
      <c r="AD22"/>
      <c r="AE22"/>
    </row>
    <row r="23" spans="1:31" x14ac:dyDescent="0.15">
      <c r="A23" s="27"/>
      <c r="B23" s="20"/>
      <c r="C23" s="2"/>
      <c r="D23" s="1"/>
      <c r="E23" s="180"/>
      <c r="F23" s="180"/>
      <c r="G23" s="180"/>
      <c r="H23" s="180"/>
      <c r="I23" s="21"/>
      <c r="J23" s="27"/>
      <c r="L23"/>
      <c r="M23"/>
      <c r="N23"/>
      <c r="O23"/>
      <c r="P23"/>
      <c r="Q23"/>
      <c r="R23"/>
      <c r="S23"/>
      <c r="T23"/>
      <c r="U23"/>
      <c r="V23"/>
      <c r="W23"/>
      <c r="X23"/>
      <c r="Y23"/>
      <c r="Z23"/>
      <c r="AA23"/>
      <c r="AB23"/>
      <c r="AC23"/>
      <c r="AD23"/>
      <c r="AE23"/>
    </row>
    <row r="24" spans="1:31" ht="15" customHeight="1" x14ac:dyDescent="0.15">
      <c r="A24" s="27"/>
      <c r="B24" s="20"/>
      <c r="C24" s="75" t="str">
        <f>IF(D22&gt;=2, "所属機関1", "所属機関")</f>
        <v>所属機関1</v>
      </c>
      <c r="D24" s="56"/>
      <c r="E24" s="193" t="s">
        <v>187</v>
      </c>
      <c r="F24" s="180"/>
      <c r="G24" s="180"/>
      <c r="H24" s="180"/>
      <c r="I24" s="21"/>
      <c r="J24" s="27"/>
      <c r="L24"/>
      <c r="M24" s="4" t="s">
        <v>45</v>
      </c>
      <c r="N24" s="72" t="s">
        <v>4</v>
      </c>
      <c r="O24" s="72" t="str">
        <f>IF(D24&lt;&gt;"", CONCATENATE("1.",D24),"")</f>
        <v/>
      </c>
      <c r="P24" s="72" t="str">
        <f>IF(D25&lt;&gt;"", CONCATENATE("2.", D25),"")</f>
        <v/>
      </c>
      <c r="Q24" s="72" t="str">
        <f>IF(D26&lt;&gt;"", CONCATENATE("3.", D26),"")</f>
        <v/>
      </c>
      <c r="R24" s="72" t="str">
        <f>IF(D27&lt;&gt;"",  CONCATENATE("4.",D27),"")</f>
        <v/>
      </c>
      <c r="S24" s="72" t="str">
        <f>IF(D28&lt;&gt;"",  CONCATENATE("5.",D28),"")</f>
        <v/>
      </c>
      <c r="T24"/>
      <c r="U24"/>
      <c r="V24" s="4" t="s">
        <v>174</v>
      </c>
      <c r="W24" s="139" t="str">
        <f>IF(C24="","",IF(D24="","エラー","OK"))</f>
        <v>エラー</v>
      </c>
      <c r="X24"/>
      <c r="Y24"/>
      <c r="Z24"/>
      <c r="AA24"/>
      <c r="AB24"/>
      <c r="AC24"/>
      <c r="AD24"/>
      <c r="AE24"/>
    </row>
    <row r="25" spans="1:31" ht="15" customHeight="1" x14ac:dyDescent="0.15">
      <c r="A25" s="27"/>
      <c r="B25" s="20"/>
      <c r="C25" s="75" t="str">
        <f>IF(D22&gt;=2, "所属機関2", "")</f>
        <v>所属機関2</v>
      </c>
      <c r="D25" s="56"/>
      <c r="E25" s="193"/>
      <c r="F25" s="180"/>
      <c r="G25" s="180"/>
      <c r="H25" s="180"/>
      <c r="I25" s="21"/>
      <c r="J25" s="27"/>
      <c r="L25"/>
      <c r="M25"/>
      <c r="N25"/>
      <c r="O25"/>
      <c r="P25"/>
      <c r="Q25"/>
      <c r="R25"/>
      <c r="S25"/>
      <c r="T25"/>
      <c r="U25"/>
      <c r="V25" s="4" t="s">
        <v>174</v>
      </c>
      <c r="W25" s="139" t="str">
        <f>IF(C25="","",IF(D25="","エラー","OK"))</f>
        <v>エラー</v>
      </c>
      <c r="X25"/>
      <c r="Y25"/>
      <c r="Z25"/>
      <c r="AA25"/>
      <c r="AB25"/>
      <c r="AC25"/>
      <c r="AD25"/>
      <c r="AE25"/>
    </row>
    <row r="26" spans="1:31" ht="15" customHeight="1" x14ac:dyDescent="0.15">
      <c r="A26" s="27"/>
      <c r="B26" s="20"/>
      <c r="C26" s="75" t="str">
        <f>IF(D22&gt;=3, "所属機関3", "")</f>
        <v>所属機関3</v>
      </c>
      <c r="D26" s="56"/>
      <c r="E26" s="193" t="s">
        <v>186</v>
      </c>
      <c r="F26" s="180"/>
      <c r="G26" s="180"/>
      <c r="H26" s="180"/>
      <c r="I26" s="21"/>
      <c r="J26" s="27"/>
      <c r="L26"/>
      <c r="M26" s="4" t="s">
        <v>46</v>
      </c>
      <c r="N26" s="72"/>
      <c r="O26" s="72" t="s">
        <v>11</v>
      </c>
      <c r="P26"/>
      <c r="Q26"/>
      <c r="R26"/>
      <c r="S26"/>
      <c r="T26"/>
      <c r="U26"/>
      <c r="V26" s="4" t="s">
        <v>174</v>
      </c>
      <c r="W26" s="139" t="str">
        <f>IF(C26="","",IF(D26="","エラー","OK"))</f>
        <v>エラー</v>
      </c>
      <c r="X26"/>
      <c r="Y26"/>
      <c r="Z26"/>
      <c r="AA26"/>
      <c r="AB26"/>
      <c r="AC26"/>
      <c r="AD26"/>
      <c r="AE26"/>
    </row>
    <row r="27" spans="1:31" ht="15" customHeight="1" x14ac:dyDescent="0.15">
      <c r="A27" s="27"/>
      <c r="B27" s="20"/>
      <c r="C27" s="75" t="str">
        <f>IF(D22&gt;=4, "所属機関4", "")</f>
        <v>所属機関4</v>
      </c>
      <c r="D27" s="56"/>
      <c r="E27" s="189"/>
      <c r="F27" s="190"/>
      <c r="G27" s="190"/>
      <c r="H27" s="190"/>
      <c r="I27" s="21"/>
      <c r="J27" s="27"/>
      <c r="L27"/>
      <c r="M27"/>
      <c r="N27"/>
      <c r="O27"/>
      <c r="P27"/>
      <c r="Q27"/>
      <c r="R27"/>
      <c r="S27"/>
      <c r="T27"/>
      <c r="U27"/>
      <c r="V27" s="4" t="s">
        <v>174</v>
      </c>
      <c r="W27" s="139" t="str">
        <f>IF(C27="","",IF(D27="","エラー","OK"))</f>
        <v>エラー</v>
      </c>
      <c r="X27"/>
      <c r="Y27"/>
      <c r="Z27"/>
      <c r="AA27"/>
      <c r="AB27"/>
      <c r="AC27"/>
      <c r="AD27"/>
      <c r="AE27"/>
    </row>
    <row r="28" spans="1:31" ht="15" customHeight="1" x14ac:dyDescent="0.15">
      <c r="A28" s="27"/>
      <c r="B28" s="20"/>
      <c r="C28" s="75" t="str">
        <f>IF(D22&gt;=5, "所属機関5", "")</f>
        <v>所属機関5</v>
      </c>
      <c r="D28" s="56"/>
      <c r="E28" s="194" t="s">
        <v>31</v>
      </c>
      <c r="F28" s="195"/>
      <c r="G28" s="195"/>
      <c r="H28" s="195"/>
      <c r="I28" s="21"/>
      <c r="J28" s="27"/>
      <c r="L28"/>
      <c r="M28"/>
      <c r="N28"/>
      <c r="O28"/>
      <c r="P28"/>
      <c r="Q28"/>
      <c r="R28"/>
      <c r="S28"/>
      <c r="T28"/>
      <c r="U28"/>
      <c r="V28" s="4" t="s">
        <v>174</v>
      </c>
      <c r="W28" s="139" t="str">
        <f>IF(C28="","",IF(D28="","エラー","OK"))</f>
        <v>エラー</v>
      </c>
      <c r="X28"/>
      <c r="Y28"/>
      <c r="Z28"/>
      <c r="AA28"/>
      <c r="AB28"/>
      <c r="AC28"/>
      <c r="AD28"/>
      <c r="AE28"/>
    </row>
    <row r="29" spans="1:31" x14ac:dyDescent="0.15">
      <c r="A29" s="27"/>
      <c r="B29" s="20"/>
      <c r="C29" s="2" t="str">
        <f>IF(D27=1, 所属1, "")</f>
        <v/>
      </c>
      <c r="D29" s="1"/>
      <c r="E29" s="181" t="s">
        <v>177</v>
      </c>
      <c r="F29" s="182"/>
      <c r="G29" s="182"/>
      <c r="H29" s="182"/>
      <c r="I29" s="21"/>
      <c r="J29" s="27"/>
      <c r="L29"/>
      <c r="M29"/>
      <c r="N29"/>
      <c r="O29"/>
      <c r="P29"/>
      <c r="Q29"/>
      <c r="R29"/>
      <c r="S29"/>
      <c r="T29"/>
      <c r="U29"/>
      <c r="V29"/>
      <c r="W29" s="139" t="str">
        <f>IF(CONCATENATE(IF(W22="OK", "", W22),IF(W24="OK", "", W24),IF(W25="OK", "", W25),IF(W26="OK", "", W26),IF(W27="OK", "", W27),IF(W28="OK", "", W28))="","","エラー")</f>
        <v>エラー</v>
      </c>
      <c r="X29"/>
      <c r="Y29"/>
      <c r="Z29"/>
      <c r="AA29"/>
      <c r="AB29"/>
      <c r="AC29"/>
      <c r="AD29"/>
      <c r="AE29"/>
    </row>
    <row r="30" spans="1:31" x14ac:dyDescent="0.15">
      <c r="A30" s="27"/>
      <c r="B30" s="20"/>
      <c r="C30" s="5"/>
      <c r="D30" s="6" t="s">
        <v>9</v>
      </c>
      <c r="E30" s="6" t="s">
        <v>17</v>
      </c>
      <c r="F30" s="6" t="s">
        <v>18</v>
      </c>
      <c r="G30" s="6" t="s">
        <v>19</v>
      </c>
      <c r="H30" s="6" t="s">
        <v>29</v>
      </c>
      <c r="I30" s="21"/>
      <c r="J30" s="27"/>
      <c r="L30"/>
      <c r="M30" s="4" t="s">
        <v>47</v>
      </c>
      <c r="N30" s="4"/>
      <c r="O30" s="4"/>
      <c r="P30" s="6" t="s">
        <v>29</v>
      </c>
      <c r="Q30" s="6" t="s">
        <v>17</v>
      </c>
      <c r="R30" s="6" t="s">
        <v>174</v>
      </c>
      <c r="S30"/>
      <c r="T30"/>
      <c r="U30"/>
      <c r="V30"/>
      <c r="W30"/>
      <c r="X30"/>
      <c r="Y30"/>
      <c r="Z30"/>
      <c r="AA30"/>
      <c r="AB30"/>
      <c r="AC30"/>
      <c r="AD30"/>
      <c r="AE30"/>
    </row>
    <row r="31" spans="1:31" ht="15" customHeight="1" x14ac:dyDescent="0.15">
      <c r="A31" s="27"/>
      <c r="B31" s="20"/>
      <c r="C31" s="75" t="s">
        <v>80</v>
      </c>
      <c r="D31" s="56"/>
      <c r="E31" s="61" t="s">
        <v>4</v>
      </c>
      <c r="F31" s="61" t="s">
        <v>204</v>
      </c>
      <c r="G31" s="61"/>
      <c r="H31" s="63" t="s">
        <v>234</v>
      </c>
      <c r="I31" s="21"/>
      <c r="J31" s="27"/>
      <c r="L31"/>
      <c r="M31" s="72" t="str">
        <f>CONCATENATE( IF($E$31="", "", CONCATENATE("*",LEFT($E$31,1))), IF($F$31="", "", CONCATENATE(",*",LEFT($F$31,1))), IF($G$31="", "", CONCATENATE(",*", LEFT($G$31,1))))</f>
        <v>*選</v>
      </c>
      <c r="N31" s="72" t="str">
        <f>IF($D$31="","", CONCATENATE($H$31,$D$31,$M$31))</f>
        <v/>
      </c>
      <c r="O31" s="72" t="str">
        <f>CONCATENATE($H$31,(IF(LEFT($E$31,1)="選","○○",(IF(VALUE(LEFT($E$31,1))&gt;=1,(IF(VALUE(LEFT($E$31,1))&lt;=5,"","○○")),"○○")))))</f>
        <v>○○○</v>
      </c>
      <c r="P31" s="72">
        <f>IF($H$31=$O$26,$D$31, "")</f>
        <v>0</v>
      </c>
      <c r="Q31" s="72" t="str">
        <f>IF($H$31=$O$26, RIGHT($E$31, LEN($E$31)-2), "")</f>
        <v>で下さい</v>
      </c>
      <c r="R31" s="139" t="str">
        <f>IF($D$31="","エラー",IF($E$31="","エラー",IF($E$31="選んで下さい","エラー","OK")))</f>
        <v>エラー</v>
      </c>
      <c r="S31"/>
      <c r="T31"/>
      <c r="U31"/>
      <c r="V31"/>
      <c r="W31"/>
      <c r="X31"/>
      <c r="Y31"/>
      <c r="Z31"/>
      <c r="AA31"/>
      <c r="AB31"/>
      <c r="AC31"/>
      <c r="AD31"/>
      <c r="AE31"/>
    </row>
    <row r="32" spans="1:31" ht="15" customHeight="1" x14ac:dyDescent="0.15">
      <c r="A32" s="27"/>
      <c r="B32" s="20"/>
      <c r="C32" s="75" t="str">
        <f>IF(D20&gt;=2,"氏名2", "")</f>
        <v>氏名2</v>
      </c>
      <c r="D32" s="56"/>
      <c r="E32" s="61" t="s">
        <v>204</v>
      </c>
      <c r="F32" s="61" t="s">
        <v>204</v>
      </c>
      <c r="G32" s="61"/>
      <c r="H32" s="63"/>
      <c r="I32" s="21"/>
      <c r="J32" s="27"/>
      <c r="L32"/>
      <c r="M32" s="72" t="str">
        <f>CONCATENATE( IF($E$32="", "", CONCATENATE("*",LEFT($E$32,1))), IF($F$32="", "", CONCATENATE(",*",LEFT($F$32,1))), IF($G$32="", "", CONCATENATE(",*", LEFT($G$32,1))))</f>
        <v/>
      </c>
      <c r="N32" s="72" t="str">
        <f>IF($D$32="","", CONCATENATE("，", $H$32,$D$32,$M$32))</f>
        <v/>
      </c>
      <c r="O32" s="72" t="str">
        <f>CONCATENATE($H$32,(IF( $D$32="","",(IF(VALUE(LEFT($E$32,1))&gt;=1,(IF(VALUE(LEFT($E$32,1))&lt;=5,"","○○")),"○○")))))</f>
        <v/>
      </c>
      <c r="P32" s="72" t="str">
        <f>IF($H$32=$O$26,$D$32, "")</f>
        <v/>
      </c>
      <c r="Q32" s="72" t="str">
        <f>IF($H$32=$O$26, RIGHT($E$32, LEN($E$32)-2), "")</f>
        <v/>
      </c>
      <c r="R32" s="139" t="str">
        <f>IF($C$32="","",IF($D$32="","エラー",IF($E$32="","エラー","OK")))</f>
        <v>エラー</v>
      </c>
      <c r="S32"/>
      <c r="T32"/>
      <c r="U32"/>
      <c r="V32"/>
      <c r="W32"/>
      <c r="X32"/>
      <c r="Y32"/>
      <c r="Z32"/>
      <c r="AA32"/>
      <c r="AB32"/>
      <c r="AC32"/>
      <c r="AD32"/>
      <c r="AE32"/>
    </row>
    <row r="33" spans="1:31" ht="15" customHeight="1" x14ac:dyDescent="0.15">
      <c r="A33" s="27"/>
      <c r="B33" s="20"/>
      <c r="C33" s="75" t="str">
        <f>IF(D20&gt;=3,"氏名3", "")</f>
        <v>氏名3</v>
      </c>
      <c r="D33" s="56"/>
      <c r="E33" s="61" t="s">
        <v>204</v>
      </c>
      <c r="F33" s="61"/>
      <c r="G33" s="61" t="s">
        <v>204</v>
      </c>
      <c r="H33" s="63"/>
      <c r="I33" s="21"/>
      <c r="J33" s="27"/>
      <c r="L33"/>
      <c r="M33" s="72" t="str">
        <f>CONCATENATE( IF($E$33="", "", CONCATENATE("*",LEFT($E$33,1))), IF($F$33="", "", CONCATENATE(",*",LEFT($F$33,1))), IF($G$33="", "", CONCATENATE(",*", LEFT($G$33,1))))</f>
        <v/>
      </c>
      <c r="N33" s="72" t="str">
        <f>IF($D$33="","", CONCATENATE("，", $H$33,$D$33,$M$33))</f>
        <v/>
      </c>
      <c r="O33" s="72" t="str">
        <f>CONCATENATE($H$33,(IF($D$33="","",(IF(VALUE(LEFT($E$33,1))&gt;=1,(IF(VALUE(LEFT($E$33,1))&lt;=5,"","○○")),"○○")))))</f>
        <v/>
      </c>
      <c r="P33" s="72" t="str">
        <f>IF($H$33=$O$26,$D$33, "")</f>
        <v/>
      </c>
      <c r="Q33" s="72" t="str">
        <f>IF($H$33=$O$26, RIGHT($E$33, LEN($E$33)-2), "")</f>
        <v/>
      </c>
      <c r="R33" s="139" t="str">
        <f>IF($C$33="","",IF($D$33="","エラー",IF($E$33="","エラー","OK")))</f>
        <v>エラー</v>
      </c>
      <c r="S33"/>
      <c r="T33"/>
      <c r="U33"/>
      <c r="V33"/>
      <c r="W33"/>
      <c r="X33"/>
      <c r="Y33"/>
      <c r="Z33"/>
      <c r="AA33"/>
      <c r="AB33"/>
      <c r="AC33"/>
      <c r="AD33"/>
      <c r="AE33"/>
    </row>
    <row r="34" spans="1:31" ht="15" customHeight="1" x14ac:dyDescent="0.15">
      <c r="A34" s="27"/>
      <c r="B34" s="20"/>
      <c r="C34" s="75" t="str">
        <f>IF(D20&gt;=4,"氏名4", "")</f>
        <v>氏名4</v>
      </c>
      <c r="D34" s="56"/>
      <c r="E34" s="61"/>
      <c r="F34" s="61"/>
      <c r="G34" s="61"/>
      <c r="H34" s="63"/>
      <c r="I34" s="21"/>
      <c r="J34" s="27"/>
      <c r="L34"/>
      <c r="M34" s="72" t="str">
        <f>CONCATENATE( IF($E$34="", "", CONCATENATE("*",LEFT($E$34,1))), IF($F$34="", "", CONCATENATE(",*",LEFT($F$34,1))), IF($G$34="", "", CONCATENATE(",*", LEFT($G$34,1))))</f>
        <v/>
      </c>
      <c r="N34" s="72" t="str">
        <f>IF($D$34="","", CONCATENATE("，", $H$34,$D$34,$M$34))</f>
        <v/>
      </c>
      <c r="O34" s="72" t="str">
        <f>CONCATENATE($H$34,(IF($D$34="","",(IF(VALUE(LEFT($E$34,1))&gt;=1,(IF(VALUE(LEFT($E$34,1))&lt;=5,"","○○")),"○○")))))</f>
        <v/>
      </c>
      <c r="P34" s="72" t="str">
        <f>IF($H$34=$O$26,$D$34, "")</f>
        <v/>
      </c>
      <c r="Q34" s="72" t="str">
        <f>IF($H$34=$O$26, RIGHT($E$34, LEN($E$34)-2), "")</f>
        <v/>
      </c>
      <c r="R34" s="139" t="str">
        <f>IF($C$34="","",IF($D$34="","エラー",IF($E$34="","エラー","OK")))</f>
        <v>エラー</v>
      </c>
      <c r="S34"/>
      <c r="T34"/>
      <c r="U34"/>
      <c r="V34"/>
      <c r="W34"/>
      <c r="X34"/>
      <c r="Y34"/>
      <c r="Z34"/>
      <c r="AA34"/>
      <c r="AB34"/>
      <c r="AC34"/>
      <c r="AD34"/>
      <c r="AE34"/>
    </row>
    <row r="35" spans="1:31" ht="15" customHeight="1" x14ac:dyDescent="0.15">
      <c r="A35" s="27"/>
      <c r="B35" s="20"/>
      <c r="C35" s="75" t="str">
        <f>IF(D20&gt;=5,"氏名5", "")</f>
        <v>氏名5</v>
      </c>
      <c r="D35" s="56"/>
      <c r="E35" s="61"/>
      <c r="F35" s="61"/>
      <c r="G35" s="61"/>
      <c r="H35" s="63"/>
      <c r="I35" s="21"/>
      <c r="J35" s="27"/>
      <c r="L35"/>
      <c r="M35" s="72" t="str">
        <f>CONCATENATE( IF($E$35="", "", CONCATENATE("*",LEFT($E$35,1))), IF($F$35="", "", CONCATENATE(",*",LEFT($F$35,1))), IF($G$35="", "", CONCATENATE(",*", LEFT($G$35,1))))</f>
        <v/>
      </c>
      <c r="N35" s="72" t="str">
        <f>IF($D$35="","", CONCATENATE("，", $H$35,$D$35,$M$35))</f>
        <v/>
      </c>
      <c r="O35" s="72" t="str">
        <f>CONCATENATE($H$35,(IF($D$35="","",(IF(VALUE(LEFT($E$35,1))&gt;=1,(IF(VALUE(LEFT($E$35,1))&lt;=5,"","○○")),"○○")))))</f>
        <v/>
      </c>
      <c r="P35" s="72" t="str">
        <f>IF($H$35=$O$26,$D$35, "")</f>
        <v/>
      </c>
      <c r="Q35" s="72" t="str">
        <f>IF($H$35=$O$26, RIGHT($E$35, LEN($E$35)-2), "")</f>
        <v/>
      </c>
      <c r="R35" s="139" t="str">
        <f>IF($C$35="","",IF($D$35="","エラー",IF($E$35="","エラー","OK")))</f>
        <v>エラー</v>
      </c>
      <c r="S35"/>
      <c r="T35"/>
      <c r="U35"/>
      <c r="V35"/>
      <c r="W35"/>
      <c r="X35"/>
      <c r="Y35"/>
      <c r="Z35"/>
      <c r="AA35"/>
      <c r="AB35"/>
      <c r="AC35"/>
      <c r="AD35"/>
      <c r="AE35"/>
    </row>
    <row r="36" spans="1:31" ht="15" customHeight="1" x14ac:dyDescent="0.15">
      <c r="A36" s="27"/>
      <c r="B36" s="20"/>
      <c r="C36" s="75" t="str">
        <f>IF(D20&gt;=6,"氏名6", "")</f>
        <v>氏名6</v>
      </c>
      <c r="D36" s="56"/>
      <c r="E36" s="61"/>
      <c r="F36" s="61"/>
      <c r="G36" s="61"/>
      <c r="H36" s="63"/>
      <c r="I36" s="21"/>
      <c r="J36" s="27"/>
      <c r="L36"/>
      <c r="M36" s="72" t="str">
        <f>CONCATENATE( IF($E$36="", "", CONCATENATE("*",LEFT($E$36,1))), IF($F$36="", "", CONCATENATE(",*",LEFT($F$36,1))), IF(G$36="", "", CONCATENATE(",*", LEFT($G$36,1))))</f>
        <v/>
      </c>
      <c r="N36" s="72" t="str">
        <f>IF($D$36="","", CONCATENATE("，", $H$36,$D$36,$M$36))</f>
        <v/>
      </c>
      <c r="O36" s="72" t="str">
        <f>CONCATENATE($H$36,(IF($D$36="","",(IF(VALUE(LEFT($E$36,1))&gt;=1,(IF(VALUE(LEFT($E$36,1))&lt;=5,"","○○")),"○○")))))</f>
        <v/>
      </c>
      <c r="P36" s="72" t="str">
        <f>IF($H$36=$O$26,$D$36, "")</f>
        <v/>
      </c>
      <c r="Q36" s="72" t="str">
        <f>IF($H$36=$O$26, RIGHT($E$36, LEN($E$36)-2), "")</f>
        <v/>
      </c>
      <c r="R36" s="139" t="str">
        <f>IF($C$36="","",IF($D$36="","エラー",IF($E$36="","エラー","OK")))</f>
        <v>エラー</v>
      </c>
      <c r="S36"/>
      <c r="T36"/>
      <c r="U36"/>
      <c r="V36"/>
      <c r="W36"/>
      <c r="X36"/>
      <c r="Y36"/>
      <c r="Z36"/>
      <c r="AA36"/>
      <c r="AB36"/>
      <c r="AC36"/>
      <c r="AD36"/>
      <c r="AE36"/>
    </row>
    <row r="37" spans="1:31" ht="15" customHeight="1" x14ac:dyDescent="0.15">
      <c r="A37" s="27"/>
      <c r="B37" s="20"/>
      <c r="C37" s="75" t="str">
        <f>IF(D20&gt;=7,"氏名7", "")</f>
        <v>氏名7</v>
      </c>
      <c r="D37" s="56"/>
      <c r="E37" s="61"/>
      <c r="F37" s="61"/>
      <c r="G37" s="61"/>
      <c r="H37" s="63"/>
      <c r="I37" s="21"/>
      <c r="J37" s="27"/>
      <c r="L37"/>
      <c r="M37" s="72" t="str">
        <f>CONCATENATE( IF($E$37="", "", CONCATENATE("*",LEFT($E$37,1))), IF($F$37="", "", CONCATENATE(",*",LEFT($F$37,1))), IF($G$37="", "", CONCATENATE(",*", LEFT($G$37,1))))</f>
        <v/>
      </c>
      <c r="N37" s="72" t="str">
        <f>IF($D$37="","", CONCATENATE("，", $H$37,$D$37,$M$37))</f>
        <v/>
      </c>
      <c r="O37" s="72" t="str">
        <f>CONCATENATE($H$37,(IF($D$37="","",(IF(VALUE(LEFT($E$37,1))&gt;=1,(IF(VALUE(LEFT($E$37,1))&lt;=5,"","○○")),"○○")))))</f>
        <v/>
      </c>
      <c r="P37" s="72" t="str">
        <f>IF($H$37=$O$26,$D$37, "")</f>
        <v/>
      </c>
      <c r="Q37" s="72" t="str">
        <f>IF($H$37=$O$26, RIGHT($E$37, LEN($E$37)-2), "")</f>
        <v/>
      </c>
      <c r="R37" s="139" t="str">
        <f>IF($C$37="","",IF($D$37="","エラー",IF($E$37="","エラー","OK")))</f>
        <v>エラー</v>
      </c>
      <c r="S37"/>
      <c r="T37"/>
      <c r="U37"/>
      <c r="V37"/>
      <c r="W37"/>
      <c r="X37"/>
      <c r="Y37"/>
      <c r="Z37"/>
      <c r="AA37"/>
      <c r="AB37"/>
      <c r="AC37"/>
      <c r="AD37"/>
      <c r="AE37"/>
    </row>
    <row r="38" spans="1:31" ht="15" customHeight="1" x14ac:dyDescent="0.15">
      <c r="A38" s="27"/>
      <c r="B38" s="20"/>
      <c r="C38" s="75" t="str">
        <f>IF(D20&gt;=8,"氏名8", "")</f>
        <v>氏名8</v>
      </c>
      <c r="D38" s="56"/>
      <c r="E38" s="61"/>
      <c r="F38" s="61"/>
      <c r="G38" s="61"/>
      <c r="H38" s="63"/>
      <c r="I38" s="21"/>
      <c r="J38" s="27"/>
      <c r="L38"/>
      <c r="M38" s="72" t="str">
        <f>CONCATENATE( IF($E$38="", "", CONCATENATE("*",LEFT($E$38,1))), IF($F$38="", "", CONCATENATE(",*",LEFT($F$38,1))), IF($G$38="", "", CONCATENATE(",*", LEFT($G$38,1))))</f>
        <v/>
      </c>
      <c r="N38" s="72" t="str">
        <f>IF($D$38="","", CONCATENATE("，", $H$38,$D$38,$M$38))</f>
        <v/>
      </c>
      <c r="O38" s="72" t="str">
        <f>CONCATENATE($H$38,(IF($D$38="","",(IF(VALUE(LEFT($E$38,1))&gt;=1,(IF(VALUE(LEFT($E$38,1))&lt;=5,"","○○")),"○○")))))</f>
        <v/>
      </c>
      <c r="P38" s="72" t="str">
        <f>IF($H$38=$O$26,$D$38, "")</f>
        <v/>
      </c>
      <c r="Q38" s="72" t="str">
        <f>IF($H$38=$O$26, RIGHT($E$38, LEN($E$38)-2), "")</f>
        <v/>
      </c>
      <c r="R38" s="139" t="str">
        <f>IF($C$38="","",IF($D$38="","エラー",IF($E$38="","エラー","OK")))</f>
        <v>エラー</v>
      </c>
      <c r="S38"/>
      <c r="T38"/>
      <c r="U38"/>
      <c r="V38"/>
      <c r="W38"/>
      <c r="X38"/>
      <c r="Y38"/>
      <c r="Z38"/>
      <c r="AA38"/>
      <c r="AB38"/>
      <c r="AC38"/>
      <c r="AD38"/>
      <c r="AE38"/>
    </row>
    <row r="39" spans="1:31" ht="15" customHeight="1" x14ac:dyDescent="0.15">
      <c r="A39" s="27"/>
      <c r="B39" s="20"/>
      <c r="C39" s="75" t="str">
        <f>IF(D20&gt;=9,"氏名9", "")</f>
        <v>氏名9</v>
      </c>
      <c r="D39" s="56"/>
      <c r="E39" s="61"/>
      <c r="F39" s="61"/>
      <c r="G39" s="61"/>
      <c r="H39" s="63"/>
      <c r="I39" s="21"/>
      <c r="J39" s="27"/>
      <c r="L39"/>
      <c r="M39" s="72" t="str">
        <f>CONCATENATE( IF($E$39="", "", CONCATENATE("*",LEFT($E$39,1))), IF($F$39="", "", CONCATENATE(",*",LEFT($F$39,1))), IF($G$39="", "", CONCATENATE(",*", LEFT($G$39,1))))</f>
        <v/>
      </c>
      <c r="N39" s="72" t="str">
        <f>IF($D$39="","", CONCATENATE("，", $H$39,$D$39,$M$39))</f>
        <v/>
      </c>
      <c r="O39" s="72" t="str">
        <f>CONCATENATE($H$39,(IF($D$39="","",(IF(VALUE(LEFT($E$39,1))&gt;=1,(IF(VALUE(LEFT($E$39,1))&lt;=5,"","○○")),"○○")))))</f>
        <v/>
      </c>
      <c r="P39" s="72" t="str">
        <f>IF($H$39=$O$26,$D$39, "")</f>
        <v/>
      </c>
      <c r="Q39" s="72" t="str">
        <f>IF($H$39=$O$26, RIGHT($E$39, LEN($E$39)-2), "")</f>
        <v/>
      </c>
      <c r="R39" s="139" t="str">
        <f>IF($C$39="","",IF($D$39="","エラー",IF($E$39="","エラー","OK")))</f>
        <v>エラー</v>
      </c>
      <c r="S39"/>
      <c r="T39"/>
      <c r="U39"/>
      <c r="V39"/>
      <c r="W39"/>
      <c r="X39"/>
      <c r="Y39"/>
      <c r="Z39"/>
      <c r="AA39"/>
      <c r="AB39"/>
      <c r="AC39"/>
      <c r="AD39"/>
      <c r="AE39"/>
    </row>
    <row r="40" spans="1:31" ht="15" customHeight="1" x14ac:dyDescent="0.15">
      <c r="A40" s="27"/>
      <c r="B40" s="20"/>
      <c r="C40" s="75" t="str">
        <f>IF(D20&gt;=10,"氏名10", "")</f>
        <v>氏名10</v>
      </c>
      <c r="D40" s="56"/>
      <c r="E40" s="61"/>
      <c r="F40" s="61"/>
      <c r="G40" s="61"/>
      <c r="H40" s="63"/>
      <c r="I40" s="21"/>
      <c r="J40" s="27"/>
      <c r="L40"/>
      <c r="M40" s="72" t="str">
        <f>CONCATENATE( IF($E$40="", "", CONCATENATE("*",LEFT($E$40,1))), IF($F$40="", "", CONCATENATE(",*",LEFT($F$40,1))), IF($G$40="", "", CONCATENATE(",*", LEFT($G$40,1))))</f>
        <v/>
      </c>
      <c r="N40" s="72" t="str">
        <f>IF($D$40="","", CONCATENATE("，", $H$40,$D$40,$M$40))</f>
        <v/>
      </c>
      <c r="O40" s="72" t="str">
        <f>CONCATENATE($H$40,(IF($D$40="","",(IF(VALUE(LEFT($E$40,1))&gt;=1,(IF(VALUE(LEFT($E$40,1))&lt;=5,"","○○")),"○○")))))</f>
        <v/>
      </c>
      <c r="P40" s="72" t="str">
        <f>IF($H$40=$O$26,$D$40, "")</f>
        <v/>
      </c>
      <c r="Q40" s="72" t="str">
        <f>IF($H$40=$O$26, RIGHT($E$40, LEN($E$40)-2), "")</f>
        <v/>
      </c>
      <c r="R40" s="139" t="str">
        <f>IF($C$40="","",IF($D$40="","エラー",IF($E$40="","エラー","OK")))</f>
        <v>エラー</v>
      </c>
      <c r="S40"/>
      <c r="T40"/>
      <c r="U40"/>
      <c r="V40"/>
      <c r="W40"/>
      <c r="X40"/>
      <c r="Y40"/>
      <c r="Z40"/>
      <c r="AA40"/>
      <c r="AB40"/>
      <c r="AC40"/>
      <c r="AD40"/>
      <c r="AE40"/>
    </row>
    <row r="41" spans="1:31" ht="15" customHeight="1" x14ac:dyDescent="0.15">
      <c r="A41" s="27"/>
      <c r="B41" s="20"/>
      <c r="C41" s="75" t="str">
        <f>IF(D20&gt;=11,"氏名11", "")</f>
        <v>氏名11</v>
      </c>
      <c r="D41" s="56"/>
      <c r="E41" s="61"/>
      <c r="F41" s="61"/>
      <c r="G41" s="61"/>
      <c r="H41" s="63"/>
      <c r="I41" s="21"/>
      <c r="J41" s="27"/>
      <c r="L41"/>
      <c r="M41" s="72" t="str">
        <f>CONCATENATE( IF($E$41="", "", CONCATENATE("*",LEFT($E$41,1))), IF($F$41="", "", CONCATENATE(",*",LEFT($F$41,1))), IF($G$41="", "", CONCATENATE(",*", LEFT($G$41,1))))</f>
        <v/>
      </c>
      <c r="N41" s="72" t="str">
        <f>IF($D$41="","", CONCATENATE("，", $H$41,$D$41,$M$41))</f>
        <v/>
      </c>
      <c r="O41" s="72" t="str">
        <f>CONCATENATE($H$41,(IF($D$41="","",(IF(VALUE(LEFT($E$41,1))&gt;=1,(IF(VALUE(LEFT($E$41,1))&lt;=5,"","○○")),"○○")))))</f>
        <v/>
      </c>
      <c r="P41" s="72" t="str">
        <f>IF($H$41=$O$26,$D$41, "")</f>
        <v/>
      </c>
      <c r="Q41" s="72" t="str">
        <f>IF($H$41=$O$26, RIGHT($E$41, LEN($E$41)-2), "")</f>
        <v/>
      </c>
      <c r="R41" s="139" t="str">
        <f>IF($C$41="","",IF($D$41="","エラー",IF($E$41="","エラー","OK")))</f>
        <v>エラー</v>
      </c>
      <c r="S41"/>
      <c r="T41"/>
      <c r="U41"/>
      <c r="V41"/>
      <c r="W41"/>
      <c r="X41"/>
      <c r="Y41"/>
      <c r="Z41"/>
      <c r="AA41"/>
      <c r="AB41"/>
      <c r="AC41"/>
      <c r="AD41"/>
      <c r="AE41"/>
    </row>
    <row r="42" spans="1:31" ht="15" customHeight="1" x14ac:dyDescent="0.15">
      <c r="A42" s="27"/>
      <c r="B42" s="20"/>
      <c r="C42" s="75" t="str">
        <f>IF(D20&gt;=12,"氏名12", "")</f>
        <v>氏名12</v>
      </c>
      <c r="D42" s="56"/>
      <c r="E42" s="61"/>
      <c r="F42" s="61"/>
      <c r="G42" s="61"/>
      <c r="H42" s="63"/>
      <c r="I42" s="21"/>
      <c r="J42" s="27"/>
      <c r="L42"/>
      <c r="M42" s="72" t="str">
        <f>CONCATENATE( IF($E$42="", "", CONCATENATE("*",LEFT($E$42,1))), IF($F$42="", "", CONCATENATE(",*",LEFT($F$42,1))), IF($G$42="", "", CONCATENATE(",*", LEFT($G$42,1))))</f>
        <v/>
      </c>
      <c r="N42" s="72" t="str">
        <f>IF($D$42="","", CONCATENATE("，", $H$42,$D$42,$M$42))</f>
        <v/>
      </c>
      <c r="O42" s="72" t="str">
        <f>CONCATENATE($H$42,(IF($D$42="","",(IF(VALUE(LEFT($E$42,1))&gt;=1,(IF(VALUE(LEFT($E$42,1))&lt;=5,"","○○")),"○○")))))</f>
        <v/>
      </c>
      <c r="P42" s="72" t="str">
        <f>IF($H$42=$O$26,$D$42, "")</f>
        <v/>
      </c>
      <c r="Q42" s="72" t="str">
        <f>IF($H$42=$O$26, RIGHT($E$42, LEN($E$42)-2), "")</f>
        <v/>
      </c>
      <c r="R42" s="139" t="str">
        <f>IF($C$42="","",IF($D$42="","エラー",IF($E$42="","エラー","OK")))</f>
        <v>エラー</v>
      </c>
      <c r="S42"/>
      <c r="T42"/>
      <c r="U42"/>
      <c r="V42"/>
      <c r="W42"/>
      <c r="X42"/>
      <c r="Y42"/>
      <c r="Z42"/>
      <c r="AA42"/>
      <c r="AB42"/>
      <c r="AC42"/>
      <c r="AD42"/>
      <c r="AE42"/>
    </row>
    <row r="43" spans="1:31" ht="15" customHeight="1" x14ac:dyDescent="0.15">
      <c r="A43" s="27"/>
      <c r="B43" s="20"/>
      <c r="C43" s="75" t="str">
        <f>IF(D20&gt;=13,"氏名13", "")</f>
        <v>氏名13</v>
      </c>
      <c r="D43" s="56"/>
      <c r="E43" s="61"/>
      <c r="F43" s="61"/>
      <c r="G43" s="61"/>
      <c r="H43" s="63"/>
      <c r="I43" s="21"/>
      <c r="J43" s="27"/>
      <c r="L43"/>
      <c r="M43" s="72" t="str">
        <f>CONCATENATE( IF($E$43="", "", CONCATENATE("*",LEFT($E$43,1))), IF($F$43="", "", CONCATENATE(",*",LEFT($F$43,1))), IF($G$43="", "", CONCATENATE(",*", LEFT($G43,1))))</f>
        <v/>
      </c>
      <c r="N43" s="72" t="str">
        <f>IF($D$43="","", CONCATENATE("，", $H$43,$D$43,$M$43))</f>
        <v/>
      </c>
      <c r="O43" s="72" t="str">
        <f>CONCATENATE($H$43,(IF($D$43="","",(IF(VALUE(LEFT($E$43,1))&gt;=1,(IF(VALUE(LEFT($E$43,1))&lt;=5,"","○○")),"○○")))))</f>
        <v/>
      </c>
      <c r="P43" s="72" t="str">
        <f>IF($H$43=$O$26,$D$43, "")</f>
        <v/>
      </c>
      <c r="Q43" s="72" t="str">
        <f>IF($H$43=$O$26, RIGHT($E$43, LEN($E$43)-2), "")</f>
        <v/>
      </c>
      <c r="R43" s="139" t="str">
        <f>IF($C$43="","",IF($D$43="","エラー",IF($E$43="","エラー","OK")))</f>
        <v>エラー</v>
      </c>
      <c r="S43"/>
      <c r="T43"/>
      <c r="U43"/>
      <c r="V43"/>
      <c r="W43"/>
      <c r="X43"/>
      <c r="Y43"/>
      <c r="Z43"/>
      <c r="AA43"/>
      <c r="AB43"/>
      <c r="AC43"/>
      <c r="AD43"/>
      <c r="AE43"/>
    </row>
    <row r="44" spans="1:31" ht="15" customHeight="1" x14ac:dyDescent="0.15">
      <c r="A44" s="27"/>
      <c r="B44" s="20"/>
      <c r="C44" s="75" t="str">
        <f>IF(D20&gt;=14,"氏名14", "")</f>
        <v>氏名14</v>
      </c>
      <c r="D44" s="56"/>
      <c r="E44" s="61"/>
      <c r="F44" s="61"/>
      <c r="G44" s="61"/>
      <c r="H44" s="63"/>
      <c r="I44" s="21"/>
      <c r="J44" s="27"/>
      <c r="L44"/>
      <c r="M44" s="72" t="str">
        <f>CONCATENATE( IF($E$44="", "", CONCATENATE("*",LEFT($E$44,1))), IF($F$44="", "", CONCATENATE(",*",LEFT($F$44,1))), IF($G$44="", "", CONCATENATE(",*", LEFT($G$44,1))))</f>
        <v/>
      </c>
      <c r="N44" s="72" t="str">
        <f>IF($D$44="","", CONCATENATE("，", $H$44,$D$44,$M$44))</f>
        <v/>
      </c>
      <c r="O44" s="72" t="str">
        <f>CONCATENATE($H$44,(IF($D$44="","",(IF(VALUE(LEFT($E$44,1))&gt;=1,(IF(VALUE(LEFT($E$44,1))&lt;=5,"","○○")),"○○")))))</f>
        <v/>
      </c>
      <c r="P44" s="72" t="str">
        <f>IF($H$44=$O$26,$D$44, "")</f>
        <v/>
      </c>
      <c r="Q44" s="72" t="str">
        <f>IF($H$44=$O$26, RIGHT($E$44, LEN($E$44)-2), "")</f>
        <v/>
      </c>
      <c r="R44" s="139" t="str">
        <f>IF($C$44="","",IF($D$44="","エラー",IF($E$44="","エラー","OK")))</f>
        <v>エラー</v>
      </c>
      <c r="S44"/>
      <c r="T44"/>
      <c r="U44"/>
      <c r="V44"/>
      <c r="W44"/>
      <c r="X44"/>
      <c r="Y44"/>
      <c r="Z44"/>
      <c r="AA44"/>
      <c r="AB44"/>
      <c r="AC44"/>
      <c r="AD44"/>
      <c r="AE44"/>
    </row>
    <row r="45" spans="1:31" ht="15" customHeight="1" x14ac:dyDescent="0.15">
      <c r="A45" s="27"/>
      <c r="B45" s="20"/>
      <c r="C45" s="75" t="str">
        <f>IF(D20&gt;=15,"氏名15", "")</f>
        <v>氏名15</v>
      </c>
      <c r="D45" s="56"/>
      <c r="E45" s="61"/>
      <c r="F45" s="61"/>
      <c r="G45" s="61"/>
      <c r="H45" s="63"/>
      <c r="I45" s="21"/>
      <c r="J45" s="27"/>
      <c r="L45"/>
      <c r="M45" s="72" t="str">
        <f>CONCATENATE( IF($E$45="", "", CONCATENATE("*",LEFT($E$45,1))), IF($F$45="", "", CONCATENATE(",*",LEFT($F$45,1))), IF($G$45="", "", CONCATENATE(",*", LEFT($G$45,1))))</f>
        <v/>
      </c>
      <c r="N45" s="72" t="str">
        <f>IF($D$45="","", CONCATENATE("，", $H$45,$D$45,$M$45))</f>
        <v/>
      </c>
      <c r="O45" s="72" t="str">
        <f>CONCATENATE($H$45,(IF($D$45="","",(IF(VALUE(LEFT($E$45,1))&gt;=1,(IF(VALUE(LEFT($E$45,1))&lt;=5,"","○○")),"○○")))))</f>
        <v/>
      </c>
      <c r="P45" s="72" t="str">
        <f>IF($H$45=$O$26,$D$45, "")</f>
        <v/>
      </c>
      <c r="Q45" s="72" t="str">
        <f>IF($H$45=$O$26, RIGHT($E$45, LEN($E$45)-2), "")</f>
        <v/>
      </c>
      <c r="R45" s="139" t="str">
        <f>IF($C$45="","",IF($D$45="","エラー",IF($E$45="","エラー","OK")))</f>
        <v>エラー</v>
      </c>
      <c r="S45"/>
      <c r="T45"/>
      <c r="U45"/>
      <c r="V45"/>
      <c r="W45"/>
      <c r="X45"/>
      <c r="Y45"/>
      <c r="Z45"/>
      <c r="AA45"/>
      <c r="AB45"/>
      <c r="AC45"/>
      <c r="AD45"/>
      <c r="AE45"/>
    </row>
    <row r="46" spans="1:31" x14ac:dyDescent="0.15">
      <c r="A46" s="27"/>
      <c r="B46" s="20"/>
      <c r="C46" s="2"/>
      <c r="D46" s="3"/>
      <c r="E46" s="1"/>
      <c r="F46" s="1"/>
      <c r="G46" s="1"/>
      <c r="H46" s="30"/>
      <c r="I46" s="21"/>
      <c r="J46" s="27"/>
      <c r="L46"/>
      <c r="M46"/>
      <c r="N46"/>
      <c r="O46"/>
      <c r="P46" s="72" t="str">
        <f>CONCATENATE(P31, P32, P33, P34, P35, P36, P37, P38, P39, P40, P41, P42, P43, P44, P45)</f>
        <v>0</v>
      </c>
      <c r="Q46" s="72" t="str">
        <f>CONCATENATE(Q31, Q32, Q33, Q34, Q35, Q36, Q37, Q38, Q39, Q40, Q41, Q42, Q43, Q44, Q45)</f>
        <v>で下さい</v>
      </c>
      <c r="R46" s="139" t="str">
        <f>IF(CONCATENATE(IF(R31="OK", "", R31),IF(R32="OK", "", R32),IF(R33="OK", "", R33),IF(R34="OK", "", R34),IF(R35="OK", "", R35),IF(R36="OK", "", R36),IF(R37="OK", "", R37),IF(R38="OK", "", R38),IF(R39="OK", "", R39),IF(R40="OK", "", R40),IF(R41="OK", "", R41),IF(R42="OK", "", R42),IF(R43="OK", "", R43),IF(R44="OK", "", R44),IF(R45="OK", "", R45),)="","","エラー")</f>
        <v>エラー</v>
      </c>
      <c r="S46"/>
      <c r="T46"/>
      <c r="U46"/>
      <c r="V46"/>
      <c r="W46"/>
      <c r="X46"/>
      <c r="Y46"/>
      <c r="Z46"/>
      <c r="AA46"/>
      <c r="AB46"/>
      <c r="AC46"/>
      <c r="AD46"/>
      <c r="AE46"/>
    </row>
    <row r="47" spans="1:31" ht="14.25" x14ac:dyDescent="0.15">
      <c r="A47" s="27"/>
      <c r="B47" s="20"/>
      <c r="C47" s="79" t="s">
        <v>28</v>
      </c>
      <c r="D47" s="1"/>
      <c r="E47" s="1"/>
      <c r="F47" s="1"/>
      <c r="G47" s="1"/>
      <c r="H47" s="1"/>
      <c r="I47" s="21"/>
      <c r="J47" s="27"/>
      <c r="L47"/>
      <c r="M47"/>
      <c r="N47"/>
      <c r="O47"/>
      <c r="P47"/>
      <c r="Q47"/>
      <c r="R47"/>
      <c r="S47"/>
      <c r="T47"/>
      <c r="U47"/>
      <c r="V47"/>
      <c r="W47"/>
      <c r="X47"/>
      <c r="Y47"/>
      <c r="Z47"/>
      <c r="AA47"/>
      <c r="AB47"/>
      <c r="AC47"/>
      <c r="AD47"/>
      <c r="AE47"/>
    </row>
    <row r="48" spans="1:31" ht="15" customHeight="1" x14ac:dyDescent="0.15">
      <c r="A48" s="27"/>
      <c r="B48" s="20"/>
      <c r="C48" s="75" t="s">
        <v>81</v>
      </c>
      <c r="D48" s="51"/>
      <c r="E48" s="3"/>
      <c r="F48" s="3"/>
      <c r="G48" s="3"/>
      <c r="H48" s="3"/>
      <c r="I48" s="21"/>
      <c r="J48" s="27"/>
      <c r="L48"/>
      <c r="M48" s="4" t="s">
        <v>129</v>
      </c>
      <c r="N48" s="163" t="str">
        <f>IF(R51="未使用", Q49,R49)</f>
        <v>本申込書は以前の大会の申込書です．使用出来ません．</v>
      </c>
      <c r="O48" s="164"/>
      <c r="P48"/>
      <c r="Q48" s="6" t="s">
        <v>151</v>
      </c>
      <c r="R48" s="6" t="s">
        <v>152</v>
      </c>
      <c r="S48" t="s">
        <v>150</v>
      </c>
      <c r="T48" t="s">
        <v>150</v>
      </c>
      <c r="U48"/>
      <c r="V48"/>
      <c r="W48"/>
      <c r="X48"/>
      <c r="Y48"/>
      <c r="Z48"/>
      <c r="AA48"/>
      <c r="AB48"/>
      <c r="AC48"/>
      <c r="AD48"/>
      <c r="AE48"/>
    </row>
    <row r="49" spans="1:31" ht="15" customHeight="1" x14ac:dyDescent="0.15">
      <c r="A49" s="27"/>
      <c r="B49" s="20"/>
      <c r="C49" s="75" t="s">
        <v>82</v>
      </c>
      <c r="D49" s="51"/>
      <c r="E49" s="3"/>
      <c r="F49" s="3"/>
      <c r="G49" s="3"/>
      <c r="H49" s="3"/>
      <c r="I49" s="21"/>
      <c r="J49" s="27"/>
      <c r="L49"/>
      <c r="M49" s="4" t="s">
        <v>97</v>
      </c>
      <c r="N49" s="168">
        <f>N69</f>
        <v>46001</v>
      </c>
      <c r="O49" s="169"/>
      <c r="P49"/>
      <c r="Q49" s="132" t="s">
        <v>148</v>
      </c>
      <c r="R49" s="90" t="s">
        <v>172</v>
      </c>
      <c r="S49" t="s">
        <v>150</v>
      </c>
      <c r="T49" t="s">
        <v>150</v>
      </c>
      <c r="U49"/>
      <c r="V49"/>
      <c r="W49"/>
      <c r="X49"/>
      <c r="Y49"/>
      <c r="Z49"/>
      <c r="AA49"/>
      <c r="AB49"/>
      <c r="AC49"/>
      <c r="AD49"/>
      <c r="AE49"/>
    </row>
    <row r="50" spans="1:31" ht="15" customHeight="1" x14ac:dyDescent="0.15">
      <c r="A50" s="27"/>
      <c r="B50" s="20"/>
      <c r="C50" s="75" t="s">
        <v>83</v>
      </c>
      <c r="D50" s="51"/>
      <c r="E50" s="3"/>
      <c r="F50" s="3"/>
      <c r="G50" s="3"/>
      <c r="H50" s="3"/>
      <c r="I50" s="21"/>
      <c r="J50" s="27"/>
      <c r="L50"/>
      <c r="M50" s="4" t="s">
        <v>127</v>
      </c>
      <c r="N50" s="92">
        <v>365</v>
      </c>
      <c r="O50" s="90" t="s">
        <v>99</v>
      </c>
      <c r="P50"/>
      <c r="Q50"/>
      <c r="R50"/>
      <c r="S50"/>
      <c r="T50"/>
      <c r="U50"/>
      <c r="V50"/>
      <c r="W50"/>
      <c r="X50"/>
      <c r="Y50"/>
      <c r="Z50"/>
      <c r="AA50"/>
      <c r="AB50"/>
      <c r="AC50"/>
      <c r="AD50"/>
      <c r="AE50"/>
    </row>
    <row r="51" spans="1:31" ht="15" customHeight="1" x14ac:dyDescent="0.15">
      <c r="A51" s="27"/>
      <c r="B51" s="20"/>
      <c r="C51" s="75" t="s">
        <v>84</v>
      </c>
      <c r="D51" s="51"/>
      <c r="E51" s="3"/>
      <c r="F51" s="3"/>
      <c r="G51" s="3"/>
      <c r="H51" s="3"/>
      <c r="I51" s="21"/>
      <c r="J51" s="27"/>
      <c r="L51"/>
      <c r="M51" s="4" t="s">
        <v>128</v>
      </c>
      <c r="N51" s="168">
        <f>N49+N50</f>
        <v>46366</v>
      </c>
      <c r="O51" s="169"/>
      <c r="P51"/>
      <c r="Q51" s="4" t="s">
        <v>149</v>
      </c>
      <c r="R51" s="70" t="str">
        <f>IF(CONCATENATE(D15,D31,D56,D59,D62)="","未使用","使用済")</f>
        <v>未使用</v>
      </c>
      <c r="S51"/>
      <c r="T51"/>
      <c r="U51"/>
      <c r="V51"/>
      <c r="W51"/>
      <c r="X51"/>
      <c r="Y51"/>
      <c r="Z51"/>
      <c r="AA51"/>
      <c r="AB51"/>
      <c r="AC51"/>
      <c r="AD51"/>
      <c r="AE51"/>
    </row>
    <row r="52" spans="1:31" ht="15" customHeight="1" x14ac:dyDescent="0.15">
      <c r="A52" s="27"/>
      <c r="B52" s="20"/>
      <c r="C52" s="75" t="s">
        <v>85</v>
      </c>
      <c r="D52" s="51"/>
      <c r="E52" s="3"/>
      <c r="F52" s="3"/>
      <c r="G52" s="3"/>
      <c r="H52" s="3"/>
      <c r="I52" s="21"/>
      <c r="J52" s="27"/>
      <c r="L52"/>
      <c r="M52" s="4" t="s">
        <v>100</v>
      </c>
      <c r="N52" s="168">
        <f ca="1">TODAY()</f>
        <v>45953</v>
      </c>
      <c r="O52" s="169"/>
      <c r="P52"/>
      <c r="Q52"/>
      <c r="R52"/>
      <c r="S52"/>
      <c r="T52"/>
      <c r="U52"/>
      <c r="V52"/>
      <c r="W52"/>
      <c r="X52"/>
      <c r="Y52"/>
      <c r="Z52"/>
      <c r="AA52"/>
      <c r="AB52"/>
      <c r="AC52"/>
      <c r="AD52"/>
      <c r="AE52"/>
    </row>
    <row r="53" spans="1:31" x14ac:dyDescent="0.15">
      <c r="A53" s="27"/>
      <c r="B53" s="20"/>
      <c r="C53" s="1"/>
      <c r="D53" s="1"/>
      <c r="E53" s="1"/>
      <c r="F53" s="1"/>
      <c r="G53" s="1"/>
      <c r="H53" s="1"/>
      <c r="I53" s="21"/>
      <c r="J53" s="27"/>
      <c r="L53"/>
      <c r="M53" s="4" t="s">
        <v>98</v>
      </c>
      <c r="N53" s="163" t="str">
        <f ca="1">IF(N52&gt;N51, IF(N48=Q49, N48, CONCATENATE("講演申込締切 :",TEXT(N49, "yyyy年m月d日(aaa)"), "必着")),CONCATENATE("講演申込締切 :",TEXT(N49, "yyyy年m月d日(aaa)"), "厳守"))</f>
        <v>講演申込締切 :2025年12月10日(水)厳守</v>
      </c>
      <c r="O53" s="170"/>
      <c r="P53"/>
      <c r="Q53"/>
      <c r="R53"/>
      <c r="S53"/>
      <c r="T53"/>
      <c r="U53"/>
      <c r="V53"/>
      <c r="W53"/>
      <c r="X53"/>
      <c r="Y53"/>
      <c r="Z53"/>
      <c r="AA53"/>
      <c r="AB53"/>
      <c r="AC53"/>
      <c r="AD53"/>
      <c r="AE53"/>
    </row>
    <row r="54" spans="1:31" x14ac:dyDescent="0.15">
      <c r="A54" s="27"/>
      <c r="B54" s="20"/>
      <c r="C54" s="196" t="str">
        <f ca="1">N56</f>
        <v/>
      </c>
      <c r="D54" s="196"/>
      <c r="E54" s="196"/>
      <c r="F54" s="196"/>
      <c r="G54" s="196"/>
      <c r="H54" s="196"/>
      <c r="I54" s="21"/>
      <c r="J54" s="27"/>
      <c r="L54"/>
      <c r="M54" s="4" t="s">
        <v>153</v>
      </c>
      <c r="N54" s="163" t="str">
        <f ca="1">IF(N52&gt;N51,IF(N48=Q49,"",R49),"")</f>
        <v/>
      </c>
      <c r="O54" s="170"/>
      <c r="P54"/>
      <c r="Q54"/>
      <c r="R54"/>
      <c r="S54"/>
      <c r="T54"/>
      <c r="U54"/>
      <c r="V54"/>
      <c r="W54"/>
      <c r="X54"/>
      <c r="Y54"/>
      <c r="Z54"/>
      <c r="AA54"/>
      <c r="AB54"/>
      <c r="AC54"/>
      <c r="AD54"/>
      <c r="AE54"/>
    </row>
    <row r="55" spans="1:31" ht="14.25" x14ac:dyDescent="0.15">
      <c r="A55" s="27"/>
      <c r="B55" s="20"/>
      <c r="C55" s="79" t="s">
        <v>23</v>
      </c>
      <c r="D55" s="33" t="s">
        <v>24</v>
      </c>
      <c r="E55" s="1"/>
      <c r="F55" s="1"/>
      <c r="G55" s="1"/>
      <c r="H55" s="1"/>
      <c r="I55" s="21"/>
      <c r="J55" s="27"/>
      <c r="L55"/>
      <c r="M55" s="4" t="s">
        <v>101</v>
      </c>
      <c r="N55" s="163"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170"/>
      <c r="P55"/>
      <c r="Q55"/>
      <c r="R55"/>
      <c r="S55"/>
      <c r="T55"/>
      <c r="U55"/>
      <c r="V55"/>
      <c r="W55"/>
      <c r="X55"/>
      <c r="Y55"/>
      <c r="Z55"/>
      <c r="AA55"/>
      <c r="AB55"/>
      <c r="AC55"/>
      <c r="AD55"/>
      <c r="AE55"/>
    </row>
    <row r="56" spans="1:31" x14ac:dyDescent="0.15">
      <c r="A56" s="27"/>
      <c r="B56" s="20"/>
      <c r="C56" s="178" t="s">
        <v>56</v>
      </c>
      <c r="D56" s="183"/>
      <c r="E56" s="184"/>
      <c r="F56" s="184"/>
      <c r="G56" s="184"/>
      <c r="H56" s="185"/>
      <c r="I56" s="21"/>
      <c r="J56" s="27"/>
      <c r="L56"/>
      <c r="M56" s="4" t="s">
        <v>102</v>
      </c>
      <c r="N56" s="163" t="str">
        <f ca="1">IF(N52&gt;N51, N48, "")</f>
        <v/>
      </c>
      <c r="O56" s="170"/>
      <c r="P56"/>
      <c r="Q56"/>
      <c r="R56"/>
      <c r="S56"/>
      <c r="T56"/>
      <c r="U56"/>
      <c r="V56"/>
      <c r="W56"/>
      <c r="X56"/>
      <c r="Y56"/>
      <c r="Z56"/>
      <c r="AA56"/>
      <c r="AB56"/>
      <c r="AC56"/>
      <c r="AD56"/>
      <c r="AE56"/>
    </row>
    <row r="57" spans="1:31" x14ac:dyDescent="0.15">
      <c r="A57" s="27"/>
      <c r="B57" s="20"/>
      <c r="C57" s="179"/>
      <c r="D57" s="186"/>
      <c r="E57" s="187"/>
      <c r="F57" s="187"/>
      <c r="G57" s="187"/>
      <c r="H57" s="188"/>
      <c r="I57" s="21"/>
      <c r="J57" s="27"/>
      <c r="L57"/>
      <c r="M57" s="4" t="s">
        <v>130</v>
      </c>
      <c r="N57" s="163"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170"/>
      <c r="P57"/>
      <c r="Q57" s="4" t="s">
        <v>107</v>
      </c>
      <c r="R57" s="70" t="str">
        <f>確認シート!L48</f>
        <v>エラー有</v>
      </c>
      <c r="S57"/>
      <c r="T57"/>
      <c r="U57"/>
      <c r="V57"/>
      <c r="W57"/>
      <c r="X57"/>
      <c r="Y57"/>
      <c r="Z57"/>
      <c r="AA57"/>
      <c r="AB57"/>
      <c r="AC57"/>
      <c r="AD57"/>
      <c r="AE57"/>
    </row>
    <row r="58" spans="1:31" ht="14.25" x14ac:dyDescent="0.15">
      <c r="A58" s="27"/>
      <c r="B58" s="20"/>
      <c r="C58" s="76"/>
      <c r="D58" s="1"/>
      <c r="E58" s="1"/>
      <c r="F58" s="1"/>
      <c r="G58" s="1"/>
      <c r="H58" s="1"/>
      <c r="I58" s="21"/>
      <c r="J58" s="27"/>
      <c r="L58"/>
      <c r="M58" s="4" t="s">
        <v>131</v>
      </c>
      <c r="N58" s="163" t="s">
        <v>198</v>
      </c>
      <c r="O58" s="170"/>
      <c r="P58"/>
      <c r="Q58"/>
      <c r="R58"/>
      <c r="S58"/>
      <c r="T58"/>
      <c r="U58"/>
      <c r="V58"/>
      <c r="W58"/>
      <c r="X58"/>
      <c r="Y58"/>
      <c r="Z58"/>
      <c r="AA58"/>
      <c r="AB58"/>
      <c r="AC58"/>
      <c r="AD58"/>
      <c r="AE58"/>
    </row>
    <row r="59" spans="1:31" x14ac:dyDescent="0.15">
      <c r="A59" s="27"/>
      <c r="B59" s="20"/>
      <c r="C59" s="178" t="s">
        <v>54</v>
      </c>
      <c r="D59" s="183"/>
      <c r="E59" s="184"/>
      <c r="F59" s="184"/>
      <c r="G59" s="184"/>
      <c r="H59" s="185"/>
      <c r="I59" s="21"/>
      <c r="J59" s="27"/>
      <c r="L59"/>
      <c r="M59" s="4" t="s">
        <v>132</v>
      </c>
      <c r="N59" s="163" t="str">
        <f ca="1">IF(N52&gt;N51,N48,"  (上記アドレスをクリックすると自動的に送信メールが立ち上がります)")</f>
        <v xml:space="preserve">  (上記アドレスをクリックすると自動的に送信メールが立ち上がります)</v>
      </c>
      <c r="O59" s="170"/>
      <c r="P59"/>
      <c r="Q59"/>
      <c r="R59"/>
      <c r="S59"/>
      <c r="T59"/>
      <c r="U59"/>
      <c r="V59"/>
      <c r="W59"/>
      <c r="X59"/>
      <c r="Y59"/>
      <c r="Z59"/>
      <c r="AA59"/>
      <c r="AB59"/>
      <c r="AC59"/>
      <c r="AD59"/>
      <c r="AE59"/>
    </row>
    <row r="60" spans="1:31" x14ac:dyDescent="0.15">
      <c r="A60" s="27"/>
      <c r="B60" s="20"/>
      <c r="C60" s="179"/>
      <c r="D60" s="186"/>
      <c r="E60" s="187"/>
      <c r="F60" s="187"/>
      <c r="G60" s="187"/>
      <c r="H60" s="188"/>
      <c r="I60" s="21"/>
      <c r="J60" s="27"/>
      <c r="L60"/>
      <c r="M60" s="4" t="s">
        <v>133</v>
      </c>
      <c r="N60" s="163" t="str">
        <f ca="1">IF(N52&gt;N51,"","なお，受取確認は，受信したメール（件名：講演申込，添付ファイル付）に対し，自動的に送信されます．")</f>
        <v>なお，受取確認は，受信したメール（件名：講演申込，添付ファイル付）に対し，自動的に送信されます．</v>
      </c>
      <c r="O60" s="170"/>
      <c r="P60"/>
      <c r="Q60"/>
      <c r="R60"/>
      <c r="S60"/>
      <c r="T60"/>
      <c r="U60"/>
      <c r="V60"/>
      <c r="W60"/>
      <c r="X60"/>
      <c r="Y60"/>
      <c r="Z60"/>
      <c r="AA60"/>
      <c r="AB60"/>
      <c r="AC60"/>
      <c r="AD60"/>
      <c r="AE60"/>
    </row>
    <row r="61" spans="1:31" ht="14.25" x14ac:dyDescent="0.15">
      <c r="A61" s="27"/>
      <c r="B61" s="20"/>
      <c r="C61" s="76"/>
      <c r="D61" s="1"/>
      <c r="E61" s="1"/>
      <c r="F61" s="1"/>
      <c r="G61" s="1"/>
      <c r="H61" s="1"/>
      <c r="I61" s="21"/>
      <c r="J61" s="27"/>
      <c r="L61"/>
      <c r="M61" s="68" t="s">
        <v>103</v>
      </c>
      <c r="N61" s="92">
        <v>153</v>
      </c>
      <c r="O61" s="90" t="s">
        <v>106</v>
      </c>
      <c r="P61"/>
      <c r="Q61"/>
      <c r="R61"/>
      <c r="S61"/>
      <c r="T61"/>
      <c r="U61"/>
      <c r="V61"/>
      <c r="W61"/>
      <c r="X61"/>
      <c r="Y61"/>
      <c r="Z61"/>
      <c r="AA61"/>
      <c r="AB61"/>
      <c r="AC61"/>
      <c r="AD61"/>
      <c r="AE61"/>
    </row>
    <row r="62" spans="1:31" x14ac:dyDescent="0.15">
      <c r="A62" s="27"/>
      <c r="B62" s="20"/>
      <c r="C62" s="178" t="s">
        <v>55</v>
      </c>
      <c r="D62" s="183"/>
      <c r="E62" s="184"/>
      <c r="F62" s="184"/>
      <c r="G62" s="184"/>
      <c r="H62" s="185"/>
      <c r="I62" s="21"/>
      <c r="J62" s="27"/>
      <c r="L62"/>
      <c r="M62" s="4" t="s">
        <v>104</v>
      </c>
      <c r="N62" s="205" t="s">
        <v>287</v>
      </c>
      <c r="O62" s="206"/>
      <c r="P62"/>
      <c r="Q62"/>
      <c r="R62"/>
      <c r="S62"/>
      <c r="T62"/>
      <c r="U62"/>
      <c r="V62"/>
      <c r="W62"/>
      <c r="X62"/>
      <c r="Y62"/>
      <c r="Z62"/>
      <c r="AA62"/>
      <c r="AB62"/>
      <c r="AC62"/>
      <c r="AD62"/>
      <c r="AE62"/>
    </row>
    <row r="63" spans="1:31" x14ac:dyDescent="0.15">
      <c r="A63" s="27"/>
      <c r="B63" s="20"/>
      <c r="C63" s="179"/>
      <c r="D63" s="186"/>
      <c r="E63" s="187"/>
      <c r="F63" s="187"/>
      <c r="G63" s="187"/>
      <c r="H63" s="188"/>
      <c r="I63" s="21"/>
      <c r="J63" s="27"/>
      <c r="L63"/>
      <c r="M63" s="4" t="s">
        <v>105</v>
      </c>
      <c r="N63" s="163" t="str">
        <f>CONCATENATE("一般社団法人表面技術協会　第",N61,"回講演大会(",N62, ")　講演申込書")</f>
        <v>一般社団法人表面技術協会　第153回講演大会(関東学院大学)　講演申込書</v>
      </c>
      <c r="O63" s="170"/>
      <c r="P63"/>
      <c r="Q63"/>
      <c r="R63"/>
      <c r="S63"/>
      <c r="T63"/>
      <c r="U63"/>
      <c r="V63"/>
      <c r="W63"/>
      <c r="X63"/>
      <c r="Y63"/>
      <c r="Z63"/>
      <c r="AA63"/>
      <c r="AB63"/>
      <c r="AC63"/>
      <c r="AD63"/>
      <c r="AE63"/>
    </row>
    <row r="64" spans="1:31" x14ac:dyDescent="0.15">
      <c r="A64" s="27"/>
      <c r="B64" s="20"/>
      <c r="C64" s="1"/>
      <c r="D64" s="1"/>
      <c r="E64" s="1"/>
      <c r="F64" s="1"/>
      <c r="G64" s="1"/>
      <c r="H64" s="1"/>
      <c r="I64" s="21"/>
      <c r="J64" s="27"/>
      <c r="L64"/>
      <c r="M64" s="4" t="s">
        <v>111</v>
      </c>
      <c r="N64" s="92" t="s">
        <v>112</v>
      </c>
      <c r="O64" s="71" t="s">
        <v>114</v>
      </c>
      <c r="P64"/>
      <c r="Q64" s="70" t="s">
        <v>112</v>
      </c>
      <c r="R64" s="70" t="s">
        <v>113</v>
      </c>
      <c r="S64"/>
      <c r="T64"/>
      <c r="U64"/>
      <c r="V64"/>
      <c r="W64"/>
      <c r="X64"/>
      <c r="Y64"/>
      <c r="Z64"/>
      <c r="AA64"/>
      <c r="AB64"/>
      <c r="AC64"/>
      <c r="AD64"/>
      <c r="AE64"/>
    </row>
    <row r="65" spans="1:31" ht="14.25" x14ac:dyDescent="0.15">
      <c r="A65" s="27"/>
      <c r="B65" s="20"/>
      <c r="C65" s="79" t="s">
        <v>1</v>
      </c>
      <c r="D65" s="1"/>
      <c r="E65" s="1"/>
      <c r="F65" s="1"/>
      <c r="G65" s="1"/>
      <c r="H65" s="1"/>
      <c r="I65" s="21"/>
      <c r="J65" s="27"/>
      <c r="L65"/>
      <c r="M65"/>
      <c r="N65"/>
      <c r="O65"/>
      <c r="P65"/>
      <c r="Q65"/>
      <c r="R65"/>
      <c r="S65"/>
      <c r="T65" s="152" t="s">
        <v>90</v>
      </c>
      <c r="U65" s="152" t="s">
        <v>89</v>
      </c>
      <c r="V65"/>
      <c r="W65"/>
      <c r="X65"/>
      <c r="Y65"/>
      <c r="Z65"/>
      <c r="AA65"/>
      <c r="AB65"/>
      <c r="AC65"/>
      <c r="AD65"/>
      <c r="AE65"/>
    </row>
    <row r="66" spans="1:31" ht="15" customHeight="1" x14ac:dyDescent="0.15">
      <c r="A66" s="27"/>
      <c r="B66" s="20"/>
      <c r="C66" s="75" t="s">
        <v>88</v>
      </c>
      <c r="D66" s="61" t="s">
        <v>209</v>
      </c>
      <c r="E66" s="34"/>
      <c r="F66" s="1"/>
      <c r="G66" s="1"/>
      <c r="H66" s="1"/>
      <c r="I66" s="21"/>
      <c r="J66" s="27"/>
      <c r="L66"/>
      <c r="M66" s="4" t="s">
        <v>48</v>
      </c>
      <c r="N66" s="72" t="str">
        <f>IF(N64=Q64,T66,U66)</f>
        <v>口頭発表のみ，OSを選んで下さい</v>
      </c>
      <c r="O66" s="72" t="s">
        <v>38</v>
      </c>
      <c r="P66" s="72" t="s">
        <v>5</v>
      </c>
      <c r="Q66"/>
      <c r="R66"/>
      <c r="S66" s="4" t="str">
        <f>CONCATENATE("今期：",N64,"期")</f>
        <v>今期：春期</v>
      </c>
      <c r="T66" s="72" t="s">
        <v>178</v>
      </c>
      <c r="U66" s="72" t="s">
        <v>179</v>
      </c>
      <c r="V66" t="s">
        <v>150</v>
      </c>
      <c r="W66"/>
      <c r="X66"/>
      <c r="Y66"/>
      <c r="Z66"/>
      <c r="AA66"/>
      <c r="AB66"/>
      <c r="AC66"/>
      <c r="AD66"/>
      <c r="AE66"/>
    </row>
    <row r="67" spans="1:31" x14ac:dyDescent="0.15">
      <c r="A67" s="27"/>
      <c r="B67" s="20"/>
      <c r="C67" s="1"/>
      <c r="D67" s="1"/>
      <c r="E67" s="1"/>
      <c r="F67" s="1"/>
      <c r="G67" s="1"/>
      <c r="H67" s="1"/>
      <c r="I67" s="21"/>
      <c r="J67" s="27"/>
      <c r="L67"/>
      <c r="M67"/>
      <c r="N67"/>
      <c r="O67"/>
      <c r="P67"/>
      <c r="Q67"/>
      <c r="R67"/>
      <c r="S67"/>
      <c r="T67"/>
      <c r="U67"/>
      <c r="V67"/>
      <c r="W67"/>
      <c r="X67"/>
      <c r="Y67"/>
      <c r="Z67"/>
      <c r="AA67"/>
      <c r="AB67"/>
      <c r="AC67"/>
      <c r="AD67"/>
      <c r="AE67"/>
    </row>
    <row r="68" spans="1:31" x14ac:dyDescent="0.15">
      <c r="A68" s="27"/>
      <c r="B68" s="20"/>
      <c r="C68" s="196" t="str">
        <f ca="1">N56</f>
        <v/>
      </c>
      <c r="D68" s="196"/>
      <c r="E68" s="196"/>
      <c r="F68" s="196"/>
      <c r="G68" s="196"/>
      <c r="H68" s="196"/>
      <c r="I68" s="21"/>
      <c r="J68" s="27"/>
      <c r="L68"/>
      <c r="M68" s="104" t="s">
        <v>180</v>
      </c>
      <c r="N68"/>
      <c r="O68"/>
      <c r="P68"/>
      <c r="Q68"/>
      <c r="R68"/>
      <c r="S68"/>
      <c r="T68"/>
      <c r="U68"/>
      <c r="V68"/>
      <c r="W68"/>
      <c r="X68"/>
      <c r="Y68"/>
      <c r="Z68"/>
      <c r="AA68"/>
      <c r="AB68"/>
      <c r="AC68"/>
      <c r="AD68"/>
      <c r="AE68"/>
    </row>
    <row r="69" spans="1:31" ht="14.25" x14ac:dyDescent="0.15">
      <c r="A69" s="27"/>
      <c r="B69" s="20"/>
      <c r="C69" s="79" t="s">
        <v>6</v>
      </c>
      <c r="D69" s="1"/>
      <c r="E69" s="1"/>
      <c r="F69" s="1"/>
      <c r="G69" s="1"/>
      <c r="H69" s="1"/>
      <c r="I69" s="21"/>
      <c r="J69" s="27"/>
      <c r="L69"/>
      <c r="M69" s="133" t="s">
        <v>181</v>
      </c>
      <c r="N69" s="171">
        <v>46001</v>
      </c>
      <c r="O69" s="171"/>
      <c r="P69"/>
      <c r="Q69"/>
      <c r="R69"/>
      <c r="S69"/>
      <c r="T69"/>
      <c r="U69"/>
      <c r="V69"/>
      <c r="W69"/>
      <c r="X69"/>
      <c r="Y69"/>
      <c r="Z69"/>
      <c r="AA69"/>
      <c r="AB69"/>
      <c r="AC69"/>
      <c r="AD69"/>
      <c r="AE69"/>
    </row>
    <row r="70" spans="1:31" ht="15" customHeight="1" x14ac:dyDescent="0.15">
      <c r="A70" s="27"/>
      <c r="B70" s="20"/>
      <c r="C70" s="75" t="s">
        <v>60</v>
      </c>
      <c r="D70" s="56"/>
      <c r="E70" s="180" t="s">
        <v>34</v>
      </c>
      <c r="F70" s="180"/>
      <c r="G70" s="180"/>
      <c r="H70" s="180"/>
      <c r="I70" s="21"/>
      <c r="J70" s="27"/>
      <c r="L70"/>
      <c r="M70" s="133" t="s">
        <v>185</v>
      </c>
      <c r="N70" s="171">
        <v>46045</v>
      </c>
      <c r="O70" s="171"/>
      <c r="P70"/>
      <c r="Q70"/>
      <c r="R70"/>
      <c r="S70"/>
      <c r="T70"/>
      <c r="U70"/>
      <c r="V70"/>
      <c r="W70"/>
      <c r="X70"/>
      <c r="Y70"/>
      <c r="Z70"/>
      <c r="AA70"/>
      <c r="AB70"/>
      <c r="AC70"/>
      <c r="AD70"/>
      <c r="AE70"/>
    </row>
    <row r="71" spans="1:31" ht="15" customHeight="1" x14ac:dyDescent="0.15">
      <c r="A71" s="27"/>
      <c r="B71" s="20"/>
      <c r="C71" s="75" t="s">
        <v>57</v>
      </c>
      <c r="D71" s="60"/>
      <c r="E71" s="180"/>
      <c r="F71" s="180"/>
      <c r="G71" s="180"/>
      <c r="H71" s="180"/>
      <c r="I71" s="21"/>
      <c r="J71" s="27"/>
      <c r="L71"/>
      <c r="M71" s="133" t="s">
        <v>182</v>
      </c>
      <c r="N71" s="171">
        <v>46091</v>
      </c>
      <c r="O71" s="171"/>
      <c r="P71"/>
      <c r="Q71"/>
      <c r="R71"/>
      <c r="S71"/>
      <c r="T71"/>
      <c r="U71"/>
      <c r="V71"/>
      <c r="W71"/>
      <c r="X71"/>
      <c r="Y71"/>
      <c r="Z71"/>
      <c r="AA71"/>
      <c r="AB71"/>
      <c r="AC71"/>
      <c r="AD71"/>
      <c r="AE71"/>
    </row>
    <row r="72" spans="1:31" ht="14.25" x14ac:dyDescent="0.15">
      <c r="A72" s="27"/>
      <c r="B72" s="20"/>
      <c r="C72" s="76"/>
      <c r="D72" s="1"/>
      <c r="E72" s="180"/>
      <c r="F72" s="180"/>
      <c r="G72" s="180"/>
      <c r="H72" s="180"/>
      <c r="I72" s="21"/>
      <c r="J72" s="27"/>
      <c r="L72"/>
      <c r="M72" s="133" t="s">
        <v>183</v>
      </c>
      <c r="N72" s="171">
        <v>46092</v>
      </c>
      <c r="O72" s="171"/>
      <c r="P72"/>
      <c r="Q72"/>
      <c r="R72"/>
      <c r="S72"/>
      <c r="T72"/>
      <c r="U72"/>
      <c r="V72"/>
      <c r="W72"/>
      <c r="X72"/>
      <c r="Y72"/>
      <c r="Z72"/>
      <c r="AA72"/>
      <c r="AB72"/>
      <c r="AC72"/>
      <c r="AD72"/>
      <c r="AE72"/>
    </row>
    <row r="73" spans="1:31" ht="14.25" x14ac:dyDescent="0.15">
      <c r="A73" s="27"/>
      <c r="B73" s="20"/>
      <c r="C73" s="80" t="s">
        <v>7</v>
      </c>
      <c r="D73" s="215"/>
      <c r="E73" s="215"/>
      <c r="F73" s="215"/>
      <c r="G73" s="215"/>
      <c r="H73" s="215"/>
      <c r="I73" s="21"/>
      <c r="J73" s="27"/>
      <c r="L73"/>
      <c r="M73"/>
      <c r="N73"/>
      <c r="O73"/>
      <c r="P73"/>
      <c r="Q73"/>
      <c r="R73"/>
      <c r="S73"/>
      <c r="T73"/>
      <c r="U73"/>
      <c r="V73"/>
      <c r="W73"/>
      <c r="X73"/>
      <c r="Y73"/>
      <c r="Z73"/>
      <c r="AA73"/>
      <c r="AB73"/>
      <c r="AC73"/>
      <c r="AD73"/>
      <c r="AE73"/>
    </row>
    <row r="74" spans="1:31" ht="15" customHeight="1" x14ac:dyDescent="0.15">
      <c r="A74" s="27"/>
      <c r="B74" s="20"/>
      <c r="C74" s="154" t="s">
        <v>58</v>
      </c>
      <c r="D74" s="210"/>
      <c r="E74" s="213"/>
      <c r="F74" s="213"/>
      <c r="G74" s="213"/>
      <c r="H74" s="214"/>
      <c r="I74" s="21"/>
      <c r="J74" s="27"/>
      <c r="L74"/>
      <c r="M74"/>
      <c r="N74"/>
      <c r="O74"/>
      <c r="P74"/>
      <c r="Q74"/>
      <c r="R74"/>
      <c r="S74"/>
      <c r="T74"/>
      <c r="U74"/>
      <c r="V74"/>
      <c r="W74"/>
      <c r="X74"/>
      <c r="Y74"/>
      <c r="Z74"/>
      <c r="AA74"/>
      <c r="AB74"/>
      <c r="AC74"/>
      <c r="AD74"/>
      <c r="AE74"/>
    </row>
    <row r="75" spans="1:31" ht="15" customHeight="1" x14ac:dyDescent="0.15">
      <c r="A75" s="27"/>
      <c r="B75" s="20"/>
      <c r="C75" s="154" t="s">
        <v>202</v>
      </c>
      <c r="D75" s="207"/>
      <c r="E75" s="208"/>
      <c r="F75" s="208"/>
      <c r="G75" s="208"/>
      <c r="H75" s="209"/>
      <c r="I75" s="21"/>
      <c r="J75" s="27"/>
      <c r="L75"/>
      <c r="M75" s="72" t="s">
        <v>141</v>
      </c>
      <c r="N75" s="165" t="s">
        <v>94</v>
      </c>
      <c r="O75" s="166"/>
      <c r="P75" s="6" t="s">
        <v>91</v>
      </c>
      <c r="Q75" s="165" t="s">
        <v>169</v>
      </c>
      <c r="R75" s="166"/>
      <c r="S75" s="165" t="s">
        <v>142</v>
      </c>
      <c r="T75" s="166"/>
      <c r="U75" s="167" t="s">
        <v>180</v>
      </c>
      <c r="V75" s="167"/>
      <c r="W75" s="4" t="s">
        <v>136</v>
      </c>
      <c r="X75" s="68" t="s">
        <v>137</v>
      </c>
      <c r="Y75" s="165" t="s">
        <v>138</v>
      </c>
      <c r="Z75" s="166"/>
      <c r="AA75"/>
      <c r="AB75"/>
      <c r="AC75"/>
      <c r="AD75"/>
      <c r="AE75"/>
    </row>
    <row r="76" spans="1:31" ht="15" customHeight="1" x14ac:dyDescent="0.15">
      <c r="A76" s="27"/>
      <c r="B76" s="20"/>
      <c r="C76" s="154" t="s">
        <v>199</v>
      </c>
      <c r="D76" s="210"/>
      <c r="E76" s="211"/>
      <c r="F76" s="211"/>
      <c r="G76" s="211"/>
      <c r="H76" s="212"/>
      <c r="I76" s="21"/>
      <c r="J76" s="27"/>
      <c r="L76"/>
      <c r="M76" s="87" t="s">
        <v>135</v>
      </c>
      <c r="N76" s="173" t="s">
        <v>143</v>
      </c>
      <c r="O76" s="174"/>
      <c r="P76" s="131" t="s">
        <v>144</v>
      </c>
      <c r="Q76" s="173" t="s">
        <v>168</v>
      </c>
      <c r="R76" s="174"/>
      <c r="S76" s="173" t="s">
        <v>145</v>
      </c>
      <c r="T76" s="174"/>
      <c r="U76" s="175" t="s">
        <v>184</v>
      </c>
      <c r="V76" s="176"/>
      <c r="W76" s="136" t="s">
        <v>139</v>
      </c>
      <c r="X76" s="88" t="s">
        <v>139</v>
      </c>
      <c r="Y76" s="88" t="s">
        <v>140</v>
      </c>
      <c r="Z76" s="89"/>
      <c r="AA76"/>
      <c r="AB76"/>
      <c r="AC76"/>
      <c r="AD76"/>
      <c r="AE76"/>
    </row>
    <row r="77" spans="1:31" ht="15" customHeight="1" x14ac:dyDescent="0.15">
      <c r="A77" s="27"/>
      <c r="B77" s="20"/>
      <c r="C77" s="154" t="s">
        <v>200</v>
      </c>
      <c r="D77" s="207"/>
      <c r="E77" s="208"/>
      <c r="F77" s="208"/>
      <c r="G77" s="208"/>
      <c r="H77" s="209"/>
      <c r="I77" s="21"/>
      <c r="J77" s="27"/>
      <c r="L77"/>
      <c r="M77" s="87" t="s">
        <v>90</v>
      </c>
      <c r="N77" s="88" t="s">
        <v>95</v>
      </c>
      <c r="O77" s="89"/>
      <c r="P77" s="131" t="s">
        <v>93</v>
      </c>
      <c r="Q77" s="150" t="s">
        <v>170</v>
      </c>
      <c r="R77" s="151"/>
      <c r="S77" s="88"/>
      <c r="T77" s="89"/>
      <c r="U77" s="172"/>
      <c r="V77" s="172"/>
      <c r="W77" s="136"/>
      <c r="X77" s="136"/>
      <c r="Y77" s="88"/>
      <c r="Z77" s="89"/>
      <c r="AA77"/>
      <c r="AB77"/>
      <c r="AC77"/>
      <c r="AD77"/>
      <c r="AE77"/>
    </row>
    <row r="78" spans="1:31" ht="15" customHeight="1" x14ac:dyDescent="0.15">
      <c r="A78" s="27"/>
      <c r="B78" s="20"/>
      <c r="C78" s="75" t="s">
        <v>73</v>
      </c>
      <c r="D78" s="207"/>
      <c r="E78" s="208"/>
      <c r="F78" s="208"/>
      <c r="G78" s="208"/>
      <c r="H78" s="209"/>
      <c r="I78" s="21"/>
      <c r="J78" s="27"/>
      <c r="L78"/>
      <c r="M78" s="87" t="s">
        <v>89</v>
      </c>
      <c r="N78" s="88" t="s">
        <v>96</v>
      </c>
      <c r="O78" s="89"/>
      <c r="P78" s="131" t="s">
        <v>92</v>
      </c>
      <c r="Q78" s="150" t="s">
        <v>171</v>
      </c>
      <c r="R78" s="151"/>
      <c r="S78" s="88"/>
      <c r="T78" s="89"/>
      <c r="U78" s="172"/>
      <c r="V78" s="172"/>
      <c r="W78" s="136"/>
      <c r="X78" s="136"/>
      <c r="Y78" s="88"/>
      <c r="Z78" s="89"/>
      <c r="AA78"/>
      <c r="AB78"/>
      <c r="AC78"/>
      <c r="AD78"/>
      <c r="AE78"/>
    </row>
    <row r="79" spans="1:31" ht="15" customHeight="1" x14ac:dyDescent="0.15">
      <c r="A79" s="27"/>
      <c r="B79" s="20"/>
      <c r="C79" s="75" t="s">
        <v>207</v>
      </c>
      <c r="D79" s="207"/>
      <c r="E79" s="208"/>
      <c r="F79" s="208"/>
      <c r="G79" s="208"/>
      <c r="H79" s="209"/>
      <c r="I79" s="21"/>
      <c r="J79" s="27"/>
      <c r="L79"/>
      <c r="M79"/>
      <c r="N79"/>
      <c r="O79"/>
      <c r="P79"/>
      <c r="Q79"/>
      <c r="R79"/>
      <c r="S79"/>
      <c r="T79"/>
      <c r="U79"/>
      <c r="V79"/>
      <c r="W79"/>
      <c r="X79"/>
      <c r="Y79"/>
      <c r="Z79"/>
      <c r="AA79"/>
      <c r="AB79"/>
      <c r="AC79"/>
      <c r="AD79"/>
      <c r="AE79"/>
    </row>
    <row r="80" spans="1:31" x14ac:dyDescent="0.15">
      <c r="A80" s="27"/>
      <c r="B80" s="20"/>
      <c r="C80" s="1"/>
      <c r="D80" s="231" t="s">
        <v>208</v>
      </c>
      <c r="E80" s="231"/>
      <c r="F80" s="231"/>
      <c r="G80" s="231"/>
      <c r="H80" s="231"/>
      <c r="I80" s="21"/>
      <c r="J80" s="27"/>
      <c r="L80"/>
      <c r="M80" s="4" t="s">
        <v>117</v>
      </c>
      <c r="N80" s="201" t="str">
        <f>CONCATENATE("第",N85,"回",IF(N64=Q64,N88,N89))</f>
        <v>第32回学術奨励講演賞（ポスター発表）</v>
      </c>
      <c r="O80" s="201"/>
      <c r="P80"/>
      <c r="Q80"/>
      <c r="R80"/>
      <c r="S80"/>
      <c r="T80"/>
      <c r="U80"/>
      <c r="V80"/>
      <c r="W80"/>
      <c r="X80"/>
      <c r="Y80"/>
      <c r="Z80"/>
      <c r="AA80"/>
      <c r="AB80"/>
      <c r="AC80"/>
      <c r="AD80"/>
      <c r="AE80"/>
    </row>
    <row r="81" spans="1:31" ht="14.25" x14ac:dyDescent="0.15">
      <c r="A81" s="27"/>
      <c r="B81" s="20"/>
      <c r="C81" s="79" t="str">
        <f>N80</f>
        <v>第32回学術奨励講演賞（ポスター発表）</v>
      </c>
      <c r="D81" s="1"/>
      <c r="E81" s="232" t="s">
        <v>115</v>
      </c>
      <c r="F81" s="232"/>
      <c r="G81" s="232"/>
      <c r="H81" s="232"/>
      <c r="I81" s="21"/>
      <c r="J81" s="27"/>
      <c r="L81"/>
      <c r="M81" s="4" t="s">
        <v>119</v>
      </c>
      <c r="N81" s="201" t="str">
        <f>IF(N64=Q64,O88,O89)</f>
        <v>発表方法はポスター発表に準じます．2026年4月1日現在，30才未満の会員が講演者であること．応募する，しないのいずれかを選んで下さい．</v>
      </c>
      <c r="O81" s="201"/>
      <c r="P81"/>
      <c r="Q81"/>
      <c r="R81"/>
      <c r="S81"/>
      <c r="T81"/>
      <c r="U81"/>
      <c r="V81"/>
      <c r="W81"/>
      <c r="X81"/>
      <c r="Y81"/>
      <c r="Z81"/>
      <c r="AA81"/>
      <c r="AB81"/>
      <c r="AC81"/>
      <c r="AD81"/>
      <c r="AE81"/>
    </row>
    <row r="82" spans="1:31" ht="15" customHeight="1" x14ac:dyDescent="0.15">
      <c r="A82" s="27"/>
      <c r="B82" s="20"/>
      <c r="C82" s="75" t="s">
        <v>14</v>
      </c>
      <c r="D82" s="61" t="s">
        <v>16</v>
      </c>
      <c r="E82" s="229" t="str">
        <f>N81</f>
        <v>発表方法はポスター発表に準じます．2026年4月1日現在，30才未満の会員が講演者であること．応募する，しないのいずれかを選んで下さい．</v>
      </c>
      <c r="F82" s="230"/>
      <c r="G82" s="230"/>
      <c r="H82" s="230"/>
      <c r="I82" s="21"/>
      <c r="J82" s="27"/>
      <c r="L82"/>
      <c r="M82" s="4" t="s">
        <v>120</v>
      </c>
      <c r="N82" s="72" t="s">
        <v>16</v>
      </c>
      <c r="O82" s="71" t="s">
        <v>15</v>
      </c>
      <c r="P82"/>
      <c r="Q82"/>
      <c r="R82"/>
      <c r="S82"/>
      <c r="T82"/>
      <c r="U82"/>
      <c r="V82"/>
      <c r="W82"/>
      <c r="X82"/>
      <c r="Y82"/>
      <c r="Z82"/>
      <c r="AA82"/>
      <c r="AB82"/>
      <c r="AC82"/>
      <c r="AD82"/>
      <c r="AE82"/>
    </row>
    <row r="83" spans="1:31" ht="15" customHeight="1" x14ac:dyDescent="0.15">
      <c r="A83" s="27"/>
      <c r="B83" s="20"/>
      <c r="C83" s="75" t="s">
        <v>86</v>
      </c>
      <c r="D83" s="56"/>
      <c r="E83" s="229"/>
      <c r="F83" s="230"/>
      <c r="G83" s="230"/>
      <c r="H83" s="230"/>
      <c r="I83" s="21"/>
      <c r="J83" s="27"/>
      <c r="L83"/>
      <c r="M83"/>
      <c r="N83"/>
      <c r="O83"/>
      <c r="P83"/>
      <c r="Q83"/>
      <c r="R83"/>
      <c r="S83"/>
      <c r="T83"/>
      <c r="U83"/>
      <c r="V83"/>
      <c r="W83"/>
      <c r="X83"/>
      <c r="Y83"/>
      <c r="Z83"/>
      <c r="AA83"/>
      <c r="AB83"/>
      <c r="AC83"/>
      <c r="AD83"/>
      <c r="AE83"/>
    </row>
    <row r="84" spans="1:31" ht="15" customHeight="1" x14ac:dyDescent="0.15">
      <c r="A84" s="27"/>
      <c r="B84" s="20"/>
      <c r="C84" s="75" t="s">
        <v>78</v>
      </c>
      <c r="D84" s="59"/>
      <c r="E84" s="34" t="s">
        <v>283</v>
      </c>
      <c r="F84" s="1"/>
      <c r="G84" s="1"/>
      <c r="H84" s="1"/>
      <c r="I84" s="21"/>
      <c r="J84" s="27"/>
      <c r="L84"/>
      <c r="M84" s="4" t="s">
        <v>134</v>
      </c>
      <c r="N84" s="203">
        <v>46113</v>
      </c>
      <c r="O84" s="204"/>
      <c r="P84"/>
      <c r="Q84"/>
      <c r="R84"/>
      <c r="S84"/>
      <c r="T84"/>
      <c r="U84"/>
      <c r="V84"/>
      <c r="W84"/>
      <c r="X84"/>
      <c r="Y84"/>
      <c r="Z84"/>
      <c r="AA84"/>
      <c r="AB84"/>
      <c r="AC84"/>
      <c r="AD84"/>
      <c r="AE84"/>
    </row>
    <row r="85" spans="1:31" x14ac:dyDescent="0.15">
      <c r="A85" s="27"/>
      <c r="B85" s="20"/>
      <c r="C85" s="2"/>
      <c r="D85" s="1"/>
      <c r="E85" s="1"/>
      <c r="F85" s="1"/>
      <c r="G85" s="1"/>
      <c r="H85" s="1"/>
      <c r="I85" s="21"/>
      <c r="J85" s="27"/>
      <c r="L85"/>
      <c r="M85" s="4" t="s">
        <v>116</v>
      </c>
      <c r="N85" s="92">
        <v>32</v>
      </c>
      <c r="O85" s="90" t="s">
        <v>106</v>
      </c>
      <c r="P85"/>
      <c r="Q85"/>
      <c r="R85"/>
      <c r="S85"/>
      <c r="T85"/>
      <c r="U85"/>
      <c r="V85"/>
      <c r="W85"/>
      <c r="X85"/>
      <c r="Y85"/>
      <c r="Z85"/>
      <c r="AA85"/>
      <c r="AB85"/>
      <c r="AC85"/>
      <c r="AD85"/>
      <c r="AE85"/>
    </row>
    <row r="86" spans="1:31" x14ac:dyDescent="0.15">
      <c r="A86" s="27"/>
      <c r="B86" s="20"/>
      <c r="C86" s="84" t="s">
        <v>77</v>
      </c>
      <c r="D86" s="202" t="s">
        <v>203</v>
      </c>
      <c r="E86" s="202"/>
      <c r="F86" s="202"/>
      <c r="G86" s="202"/>
      <c r="H86" s="202"/>
      <c r="I86" s="21"/>
      <c r="J86" s="27"/>
      <c r="L86"/>
      <c r="M86"/>
      <c r="N86"/>
      <c r="O86"/>
      <c r="P86"/>
      <c r="Q86"/>
      <c r="R86"/>
      <c r="S86"/>
      <c r="T86"/>
      <c r="U86"/>
      <c r="V86"/>
      <c r="W86"/>
      <c r="X86"/>
      <c r="Y86"/>
      <c r="Z86"/>
      <c r="AA86"/>
      <c r="AB86"/>
      <c r="AC86"/>
      <c r="AD86"/>
      <c r="AE86"/>
    </row>
    <row r="87" spans="1:31" x14ac:dyDescent="0.15">
      <c r="A87" s="27"/>
      <c r="B87" s="20"/>
      <c r="C87" s="32"/>
      <c r="D87" s="220"/>
      <c r="E87" s="221"/>
      <c r="F87" s="221"/>
      <c r="G87" s="221"/>
      <c r="H87" s="222"/>
      <c r="I87" s="21"/>
      <c r="J87" s="27"/>
      <c r="L87"/>
      <c r="M87" s="104" t="str">
        <f>CONCATENATE("今期：",N64,"期")</f>
        <v>今期：春期</v>
      </c>
      <c r="N87" s="4" t="s">
        <v>118</v>
      </c>
      <c r="O87" s="6" t="s">
        <v>119</v>
      </c>
      <c r="P87"/>
      <c r="Q87"/>
      <c r="R87"/>
      <c r="S87"/>
      <c r="T87"/>
      <c r="U87"/>
      <c r="V87"/>
      <c r="W87"/>
      <c r="X87"/>
      <c r="Y87"/>
      <c r="Z87"/>
      <c r="AA87"/>
      <c r="AB87"/>
      <c r="AC87"/>
      <c r="AD87"/>
      <c r="AE87"/>
    </row>
    <row r="88" spans="1:31" x14ac:dyDescent="0.15">
      <c r="A88" s="27"/>
      <c r="B88" s="20"/>
      <c r="C88" s="153"/>
      <c r="D88" s="223"/>
      <c r="E88" s="224"/>
      <c r="F88" s="224"/>
      <c r="G88" s="224"/>
      <c r="H88" s="225"/>
      <c r="I88" s="21"/>
      <c r="J88" s="27"/>
      <c r="L88"/>
      <c r="M88" s="87" t="s">
        <v>90</v>
      </c>
      <c r="N88" s="72" t="s">
        <v>188</v>
      </c>
      <c r="O88" s="112" t="str">
        <f>CONCATENATE("発表方法はポスター発表に準じます．",TEXT(N84, "yyyy年m月d日"), "現在，30才未満の会員が講演者であること．応募する，しないのいずれかを選んで下さい．")</f>
        <v>発表方法はポスター発表に準じます．2026年4月1日現在，30才未満の会員が講演者であること．応募する，しないのいずれかを選んで下さい．</v>
      </c>
      <c r="P88" t="s">
        <v>126</v>
      </c>
      <c r="Q88"/>
      <c r="R88"/>
      <c r="S88"/>
      <c r="T88"/>
      <c r="U88"/>
      <c r="V88"/>
      <c r="W88"/>
      <c r="X88"/>
      <c r="Y88"/>
      <c r="Z88"/>
      <c r="AA88"/>
      <c r="AB88"/>
      <c r="AC88"/>
      <c r="AD88"/>
      <c r="AE88"/>
    </row>
    <row r="89" spans="1:31" x14ac:dyDescent="0.15">
      <c r="A89" s="27"/>
      <c r="B89" s="20"/>
      <c r="C89" s="31"/>
      <c r="D89" s="226"/>
      <c r="E89" s="227"/>
      <c r="F89" s="227"/>
      <c r="G89" s="227"/>
      <c r="H89" s="228"/>
      <c r="I89" s="21"/>
      <c r="J89" s="27"/>
      <c r="L89"/>
      <c r="M89" s="86" t="s">
        <v>89</v>
      </c>
      <c r="N89" s="72" t="str">
        <f>"優秀講演賞・第"&amp;N85-13&amp;"回学生優秀講演賞"</f>
        <v>優秀講演賞・第19回学生優秀講演賞</v>
      </c>
      <c r="O89" s="112" t="str">
        <f>CONCATENATE("優秀講演賞：",TEXT(N84, "yyyy年m月d日"), "現在40才以下の会員．学生優秀講演賞：学生会員．応募は1件のみで複数の応募はできません．応募する，しないを選んで下さい．")</f>
        <v>優秀講演賞：2026年4月1日現在40才以下の会員．学生優秀講演賞：学生会員．応募は1件のみで複数の応募はできません．応募する，しないを選んで下さい．</v>
      </c>
      <c r="P89" t="s">
        <v>126</v>
      </c>
      <c r="Q89"/>
      <c r="R89"/>
      <c r="S89"/>
      <c r="T89"/>
      <c r="U89"/>
      <c r="V89"/>
      <c r="W89"/>
      <c r="X89"/>
      <c r="Y89"/>
      <c r="Z89"/>
      <c r="AA89"/>
      <c r="AB89"/>
      <c r="AC89"/>
      <c r="AD89"/>
      <c r="AE89"/>
    </row>
    <row r="90" spans="1:31" x14ac:dyDescent="0.15">
      <c r="A90" s="27"/>
      <c r="B90" s="20"/>
      <c r="C90" s="2"/>
      <c r="D90" s="65"/>
      <c r="E90" s="65"/>
      <c r="F90" s="65"/>
      <c r="G90" s="65"/>
      <c r="H90" s="65"/>
      <c r="I90" s="21"/>
      <c r="J90" s="27"/>
      <c r="L90"/>
      <c r="M90"/>
      <c r="N90"/>
      <c r="O90"/>
      <c r="P90"/>
      <c r="Q90"/>
      <c r="R90"/>
      <c r="S90"/>
      <c r="T90"/>
      <c r="U90"/>
      <c r="V90"/>
      <c r="W90"/>
      <c r="X90"/>
      <c r="Y90"/>
      <c r="Z90"/>
      <c r="AA90"/>
      <c r="AB90"/>
      <c r="AC90"/>
      <c r="AD90"/>
      <c r="AE90"/>
    </row>
    <row r="91" spans="1:31" ht="15" customHeight="1" x14ac:dyDescent="0.15">
      <c r="A91" s="27"/>
      <c r="B91" s="20"/>
      <c r="C91" s="217" t="str">
        <f ca="1">N55</f>
        <v>すべての記入が終わりましたら，確認シートを選択し，エラー等が表示されていないことを確認してください．</v>
      </c>
      <c r="D91" s="218"/>
      <c r="E91" s="218"/>
      <c r="F91" s="218"/>
      <c r="G91" s="218"/>
      <c r="H91" s="219"/>
      <c r="I91" s="21"/>
      <c r="J91" s="27"/>
      <c r="L91"/>
      <c r="M91"/>
      <c r="N91"/>
      <c r="O91"/>
      <c r="P91"/>
      <c r="Q91"/>
      <c r="R91"/>
      <c r="S91"/>
      <c r="T91"/>
      <c r="U91"/>
      <c r="V91"/>
      <c r="W91"/>
      <c r="X91"/>
      <c r="Y91"/>
      <c r="Z91"/>
      <c r="AA91"/>
      <c r="AB91"/>
      <c r="AC91"/>
      <c r="AD91"/>
      <c r="AE91"/>
    </row>
    <row r="92" spans="1:31" x14ac:dyDescent="0.15">
      <c r="A92" s="27"/>
      <c r="B92" s="20"/>
      <c r="C92" s="3"/>
      <c r="D92" s="65"/>
      <c r="E92" s="65"/>
      <c r="F92" s="65"/>
      <c r="G92" s="65"/>
      <c r="H92" s="65"/>
      <c r="I92" s="21"/>
      <c r="J92" s="27"/>
      <c r="L92"/>
      <c r="M92"/>
      <c r="N92"/>
      <c r="O92"/>
      <c r="P92"/>
      <c r="Q92"/>
      <c r="R92"/>
      <c r="S92"/>
      <c r="T92"/>
      <c r="U92"/>
      <c r="V92"/>
      <c r="W92"/>
      <c r="X92"/>
      <c r="Y92"/>
      <c r="Z92"/>
      <c r="AA92"/>
      <c r="AB92"/>
      <c r="AC92"/>
      <c r="AD92"/>
      <c r="AE92"/>
    </row>
    <row r="93" spans="1:31" ht="60" customHeight="1" x14ac:dyDescent="0.15">
      <c r="A93" s="27"/>
      <c r="B93" s="20"/>
      <c r="C93" s="216" t="s">
        <v>61</v>
      </c>
      <c r="D93" s="216"/>
      <c r="E93" s="216"/>
      <c r="F93" s="216"/>
      <c r="G93" s="216"/>
      <c r="H93" s="216"/>
      <c r="I93" s="21"/>
      <c r="J93" s="27"/>
      <c r="L93"/>
      <c r="M93"/>
      <c r="N93"/>
      <c r="O93"/>
      <c r="P93"/>
      <c r="Q93"/>
      <c r="R93"/>
      <c r="S93"/>
      <c r="T93"/>
      <c r="U93"/>
      <c r="V93"/>
      <c r="W93"/>
      <c r="X93"/>
      <c r="Y93"/>
      <c r="Z93"/>
      <c r="AA93"/>
      <c r="AB93"/>
      <c r="AC93"/>
      <c r="AD93"/>
      <c r="AE93"/>
    </row>
    <row r="94" spans="1:31" ht="13.5" customHeight="1" x14ac:dyDescent="0.15">
      <c r="A94" s="27"/>
      <c r="B94" s="22"/>
      <c r="C94" s="23"/>
      <c r="D94" s="23"/>
      <c r="E94" s="23"/>
      <c r="F94" s="23"/>
      <c r="G94" s="23"/>
      <c r="H94" s="23"/>
      <c r="I94" s="24"/>
      <c r="J94" s="27"/>
      <c r="L94"/>
      <c r="M94"/>
      <c r="N94"/>
      <c r="O94"/>
      <c r="P94"/>
      <c r="Q94"/>
      <c r="R94"/>
      <c r="S94"/>
      <c r="T94"/>
      <c r="U94"/>
      <c r="V94"/>
      <c r="W94"/>
      <c r="X94"/>
      <c r="Y94"/>
      <c r="Z94"/>
      <c r="AA94"/>
      <c r="AB94"/>
      <c r="AC94"/>
      <c r="AD94"/>
      <c r="AE94"/>
    </row>
    <row r="95" spans="1:31" x14ac:dyDescent="0.15">
      <c r="A95" s="27"/>
      <c r="B95" s="27"/>
      <c r="C95" s="27"/>
      <c r="D95" s="27"/>
      <c r="E95" s="27"/>
      <c r="F95" s="27"/>
      <c r="G95" s="27"/>
      <c r="H95" s="27"/>
      <c r="I95" s="27"/>
      <c r="J95" s="27"/>
      <c r="L95"/>
      <c r="M95"/>
      <c r="N95"/>
      <c r="O95"/>
      <c r="P95"/>
      <c r="Q95"/>
      <c r="R95"/>
      <c r="S95"/>
      <c r="T95"/>
      <c r="U95"/>
      <c r="V95"/>
      <c r="W95"/>
      <c r="X95"/>
      <c r="Y95"/>
      <c r="Z95"/>
      <c r="AA95"/>
      <c r="AB95"/>
      <c r="AC95"/>
      <c r="AD95"/>
      <c r="AE95"/>
    </row>
    <row r="96" spans="1:31" ht="27" customHeight="1" x14ac:dyDescent="0.15"/>
  </sheetData>
  <sheetProtection sheet="1" formatCells="0"/>
  <mergeCells count="71">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U77:V77"/>
    <mergeCell ref="U78:V78"/>
    <mergeCell ref="S76:T76"/>
    <mergeCell ref="S75:T75"/>
    <mergeCell ref="Q76:R76"/>
    <mergeCell ref="Q75:R75"/>
    <mergeCell ref="U76:V76"/>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s>
  <phoneticPr fontId="2"/>
  <conditionalFormatting sqref="C8 C10 C12:C13 C15:C16 C20 C22 C24:C28 C30:H30 C31:C45 C48:C52 C56:C57 C59:C60 C62:C63 C66 C70:C71 C74:C79 C82:C84 C87:C89">
    <cfRule type="expression" dxfId="9" priority="3" stopIfTrue="1">
      <formula>($D$5=$N$48)</formula>
    </cfRule>
  </conditionalFormatting>
  <conditionalFormatting sqref="C18:H18 C54:H54 C68:H68">
    <cfRule type="cellIs" dxfId="8" priority="4" stopIfTrue="1" operator="equal">
      <formula>$Q$49</formula>
    </cfRule>
    <cfRule type="cellIs" dxfId="7" priority="5" stopIfTrue="1" operator="equal">
      <formula>$R$49</formula>
    </cfRule>
  </conditionalFormatting>
  <conditionalFormatting sqref="C91:H91">
    <cfRule type="cellIs" dxfId="6" priority="6" stopIfTrue="1" operator="equal">
      <formula>$Q$49</formula>
    </cfRule>
    <cfRule type="cellIs" dxfId="5" priority="7" stopIfTrue="1" operator="equal">
      <formula>$R$49</formula>
    </cfRule>
  </conditionalFormatting>
  <conditionalFormatting sqref="D8 D10 D12:D13 D15:H16 D20 D22 D24:D28 D31:H45 D48:D52 D56:H57 D59:H60 D62:H63 D66 D70:D71 D74:H79 D82:D84 D87:H89">
    <cfRule type="expression" dxfId="4" priority="2" stopIfTrue="1">
      <formula>($D$5=$N$48)</formula>
    </cfRule>
  </conditionalFormatting>
  <conditionalFormatting sqref="D5:F5">
    <cfRule type="cellIs" dxfId="3" priority="1" stopIfTrue="1" operator="equal">
      <formula>$N$48</formula>
    </cfRule>
  </conditionalFormatting>
  <dataValidations count="18">
    <dataValidation showDropDown="1" showInputMessage="1" showErrorMessage="1" sqref="D14" xr:uid="{00000000-0002-0000-0000-000000000000}"/>
    <dataValidation type="list" allowBlank="1" showInputMessage="1" showErrorMessage="1" errorTitle="本項目は選択式です．" error="プルダウンメニューより選択してください．" sqref="D82" xr:uid="{00000000-0002-0000-0000-000001000000}">
      <formula1>$N$82:$O$82</formula1>
    </dataValidation>
    <dataValidation type="list" allowBlank="1" showInputMessage="1" showErrorMessage="1" errorTitle="本項目は選択式です．" error="プルダウンメニューより選択してください．" sqref="D22" xr:uid="{00000000-0002-0000-0000-000002000000}">
      <formula1>$N$22:$T$22</formula1>
    </dataValidation>
    <dataValidation type="list" allowBlank="1" showInputMessage="1" showErrorMessage="1" errorTitle="本項目は選択式です．" error="プルダウンメニューより選択してください．" sqref="D20" xr:uid="{00000000-0002-0000-0000-000003000000}">
      <formula1>$N$20:$AD$20</formula1>
    </dataValidation>
    <dataValidation type="list" allowBlank="1" showInputMessage="1" showErrorMessage="1" errorTitle="本項目は選択式です．" error="プルダウンメニューより選択してください．" sqref="E31" xr:uid="{00000000-0002-0000-0000-000004000000}">
      <formula1>$N$24:$S$24</formula1>
    </dataValidation>
    <dataValidation type="list" allowBlank="1" showInputMessage="1" showErrorMessage="1" errorTitle="本項目は選択式です．" error="プルダウンメニューより選択してください．" sqref="H31:H45" xr:uid="{00000000-0002-0000-0000-000005000000}">
      <formula1>$N$26:$O$26</formula1>
    </dataValidation>
    <dataValidation allowBlank="1" showDropDown="1" showInputMessage="1" showErrorMessage="1" sqref="D83" xr:uid="{00000000-0002-0000-0000-000006000000}"/>
    <dataValidation type="textLength" allowBlank="1" showInputMessage="1" showErrorMessage="1" errorTitle="文字数の制限を超えています．" error="最大10文字にして下さい．やむを得ない場合にのみ，15文字まで入力することが出来ます．" sqref="D24:D28" xr:uid="{00000000-0002-0000-0000-000007000000}">
      <formula1>0</formula1>
      <formula2>15</formula2>
    </dataValidation>
    <dataValidation type="list" allowBlank="1" showInputMessage="1" showErrorMessage="1" errorTitle="本項目は選択式です．" error="プルダウンメニューより選択してください．" promptTitle="選んで下さい" sqref="D10" xr:uid="{00000000-0002-0000-0000-000008000000}">
      <formula1>$N$9:$P$9</formula1>
    </dataValidation>
    <dataValidation type="list" allowBlank="1" showInputMessage="1" showErrorMessage="1" errorTitle="本項目は選択式です．" error="プルダウンメニューより選択してください．" sqref="D12" xr:uid="{00000000-0002-0000-0000-000009000000}">
      <formula1>$N$11:$T$11</formula1>
    </dataValidation>
    <dataValidation type="list" allowBlank="1" showInputMessage="1" showErrorMessage="1" errorTitle="本項目は選択式です．" error="プルダウンメニューより選択してください．" sqref="D13" xr:uid="{00000000-0002-0000-0000-00000A000000}">
      <formula1>$O$12:$X$12</formula1>
    </dataValidation>
    <dataValidation type="list" allowBlank="1" showInputMessage="1" showErrorMessage="1" errorTitle="本項目は選択式です．" error="プルダウンメニューより選択してください．" promptTitle="選んで下さい" sqref="D8" xr:uid="{00000000-0002-0000-0000-00000B000000}">
      <formula1>$N$7:$P$7</formula1>
    </dataValidation>
    <dataValidation type="list" allowBlank="1" showInputMessage="1" showErrorMessage="1" errorTitle="本項目は選択式です．" error="プルダウンメニューより選択してください．" sqref="D66" xr:uid="{00000000-0002-0000-0000-00000C000000}">
      <formula1>$N$66:$P$66</formula1>
    </dataValidation>
    <dataValidation type="list" allowBlank="1" showInputMessage="1" showErrorMessage="1" errorTitle="本項目は選択式です．" error="プルダウンメニューより選択してください．" sqref="E32:E45 F31:G45" xr:uid="{00000000-0002-0000-0000-00000D000000}">
      <formula1>$O$24:$S$24</formula1>
    </dataValidation>
    <dataValidation type="textLength" showInputMessage="1" showErrorMessage="1" errorTitle="入力が長すぎます．" error="各項目は３０字程度にまとめて下さい．" sqref="D56:H57" xr:uid="{00000000-0002-0000-0000-00000E000000}">
      <formula1>0</formula1>
      <formula2>60</formula2>
    </dataValidation>
    <dataValidation type="textLength" allowBlank="1" showInputMessage="1" showErrorMessage="1" errorTitle="入力が長すぎます．" error="各項目は３０字程度にまとめて下さい．" sqref="D59:H60" xr:uid="{00000000-0002-0000-0000-00000F000000}">
      <formula1>0</formula1>
      <formula2>60</formula2>
    </dataValidation>
    <dataValidation allowBlank="1" showInputMessage="1" showErrorMessage="1" errorTitle="入力が長すぎます．" error="各項目は３０字程度にまとめて下さい．" sqref="D62:H63" xr:uid="{00000000-0002-0000-0000-000010000000}"/>
    <dataValidation type="list" allowBlank="1" showInputMessage="1" showErrorMessage="1" sqref="N64" xr:uid="{00000000-0002-0000-0000-000011000000}">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3"/>
  <sheetViews>
    <sheetView zoomScaleNormal="100" workbookViewId="0"/>
  </sheetViews>
  <sheetFormatPr defaultRowHeight="13.5" x14ac:dyDescent="0.15"/>
  <cols>
    <col min="1" max="1" width="2.5" style="26" customWidth="1"/>
    <col min="2" max="2" width="3.75" style="26" customWidth="1"/>
    <col min="3" max="3" width="6.375" style="50" customWidth="1"/>
    <col min="4" max="4" width="20.125" style="26" customWidth="1"/>
    <col min="5" max="5" width="110.875" style="28" customWidth="1"/>
    <col min="6" max="6" width="3.75" style="26" customWidth="1"/>
    <col min="7" max="8" width="2.5" style="26" customWidth="1"/>
    <col min="9" max="9" width="3.625" style="26" hidden="1" customWidth="1"/>
    <col min="10" max="10" width="20.625" style="26" hidden="1" customWidth="1"/>
    <col min="11" max="13" width="9" style="26" hidden="1" customWidth="1"/>
    <col min="14" max="14" width="3.625" style="26" hidden="1" customWidth="1"/>
    <col min="15" max="16384" width="9" style="26"/>
  </cols>
  <sheetData>
    <row r="1" spans="1:14" x14ac:dyDescent="0.15">
      <c r="A1" s="27"/>
      <c r="B1" s="27"/>
      <c r="C1" s="41"/>
      <c r="D1" s="27"/>
      <c r="E1" s="29"/>
      <c r="F1" s="27"/>
      <c r="G1" s="27"/>
      <c r="I1"/>
      <c r="J1"/>
      <c r="K1"/>
      <c r="L1"/>
      <c r="M1"/>
      <c r="N1"/>
    </row>
    <row r="2" spans="1:14" s="36" customFormat="1" ht="27" customHeight="1" x14ac:dyDescent="0.2">
      <c r="A2" s="35"/>
      <c r="B2" s="39"/>
      <c r="C2" s="235" t="str">
        <f>申込シート!C3</f>
        <v>一般社団法人表面技術協会　第153回講演大会(関東学院大学)　講演申込書</v>
      </c>
      <c r="D2" s="235"/>
      <c r="E2" s="235"/>
      <c r="F2" s="40"/>
      <c r="G2" s="35"/>
      <c r="I2"/>
      <c r="J2"/>
      <c r="K2"/>
      <c r="L2"/>
      <c r="M2"/>
      <c r="N2"/>
    </row>
    <row r="3" spans="1:14" ht="14.25" customHeight="1" x14ac:dyDescent="0.15">
      <c r="A3" s="27"/>
      <c r="B3" s="20"/>
      <c r="C3" s="30"/>
      <c r="D3" s="30"/>
      <c r="E3" s="3"/>
      <c r="F3" s="21"/>
      <c r="G3" s="27"/>
      <c r="I3"/>
      <c r="J3" s="133" t="str">
        <f>申込シート!N48</f>
        <v>本申込書は以前の大会の申込書です．使用出来ません．</v>
      </c>
      <c r="K3" s="134"/>
      <c r="L3" s="38"/>
      <c r="M3" s="144"/>
      <c r="N3"/>
    </row>
    <row r="4" spans="1:14" x14ac:dyDescent="0.15">
      <c r="A4" s="27"/>
      <c r="B4" s="20"/>
      <c r="C4" s="236" t="str">
        <f ca="1">申込シート!N57</f>
        <v>エラーチェック欄にエラーが有ります．申込シートに戻り，記載事項を確認・修正して下さい．</v>
      </c>
      <c r="D4" s="237"/>
      <c r="E4" s="238"/>
      <c r="F4" s="21"/>
      <c r="G4" s="27"/>
      <c r="I4"/>
      <c r="J4"/>
      <c r="K4"/>
      <c r="L4"/>
      <c r="M4"/>
      <c r="N4"/>
    </row>
    <row r="5" spans="1:14" ht="14.25" customHeight="1" x14ac:dyDescent="0.15">
      <c r="A5" s="27"/>
      <c r="B5" s="20"/>
      <c r="C5" s="30"/>
      <c r="D5" s="1"/>
      <c r="E5" s="66" t="str">
        <f>IF(申込シート!Q3="", "", 申込シート!Q3)</f>
        <v/>
      </c>
      <c r="F5" s="21"/>
      <c r="G5" s="27"/>
      <c r="I5"/>
      <c r="J5" s="106" t="s">
        <v>121</v>
      </c>
      <c r="K5" s="106" t="s">
        <v>146</v>
      </c>
      <c r="L5" s="118" t="s">
        <v>122</v>
      </c>
      <c r="M5" s="145" t="s">
        <v>174</v>
      </c>
      <c r="N5"/>
    </row>
    <row r="6" spans="1:14" ht="14.25" x14ac:dyDescent="0.15">
      <c r="A6" s="27"/>
      <c r="B6" s="20"/>
      <c r="C6" s="6"/>
      <c r="D6" s="73" t="s">
        <v>13</v>
      </c>
      <c r="E6" s="53" t="str">
        <f ca="1">IF(申込シート!X3="", "", 申込シート!X3)</f>
        <v/>
      </c>
      <c r="F6" s="21"/>
      <c r="G6" s="27"/>
      <c r="I6"/>
      <c r="J6" s="73" t="s">
        <v>13</v>
      </c>
      <c r="K6" s="6"/>
      <c r="L6" s="119" t="str">
        <f ca="1">IF(申込シート!X3="", "", 申込シート!X3)</f>
        <v/>
      </c>
      <c r="M6" s="119" t="s">
        <v>176</v>
      </c>
      <c r="N6"/>
    </row>
    <row r="7" spans="1:14" ht="14.25" x14ac:dyDescent="0.15">
      <c r="A7" s="27"/>
      <c r="B7" s="20"/>
      <c r="C7" s="42" t="str">
        <f t="shared" ref="C7:C12" si="0">K7</f>
        <v>エラー</v>
      </c>
      <c r="D7" s="82" t="s">
        <v>51</v>
      </c>
      <c r="E7" s="8" t="str">
        <f t="shared" ref="E7:E12" si="1">L7</f>
        <v>選んで下さい</v>
      </c>
      <c r="F7" s="21"/>
      <c r="G7" s="27"/>
      <c r="I7"/>
      <c r="J7" s="82" t="s">
        <v>51</v>
      </c>
      <c r="K7" s="128" t="str">
        <f>IF(E7=申込シート!N7, "エラー", "")</f>
        <v>エラー</v>
      </c>
      <c r="L7" s="120" t="str">
        <f>申込シート!D8</f>
        <v>選んで下さい</v>
      </c>
      <c r="M7" s="120"/>
      <c r="N7"/>
    </row>
    <row r="8" spans="1:14" ht="14.25" x14ac:dyDescent="0.15">
      <c r="A8" s="27"/>
      <c r="B8" s="20"/>
      <c r="C8" s="42" t="str">
        <f t="shared" si="0"/>
        <v>エラー</v>
      </c>
      <c r="D8" s="82" t="s">
        <v>62</v>
      </c>
      <c r="E8" s="8" t="str">
        <f t="shared" si="1"/>
        <v>選んで下さい</v>
      </c>
      <c r="F8" s="21"/>
      <c r="G8" s="27"/>
      <c r="I8"/>
      <c r="J8" s="82" t="s">
        <v>62</v>
      </c>
      <c r="K8" s="128" t="str">
        <f>IF(E8=申込シート!N9, "エラー", "")</f>
        <v>エラー</v>
      </c>
      <c r="L8" s="120" t="str">
        <f>IF(E7="ポスター発表","***",申込シート!D10)</f>
        <v>選んで下さい</v>
      </c>
      <c r="M8" s="147"/>
      <c r="N8"/>
    </row>
    <row r="9" spans="1:14" ht="14.25" x14ac:dyDescent="0.15">
      <c r="A9" s="27"/>
      <c r="B9" s="20"/>
      <c r="C9" s="42" t="str">
        <f t="shared" si="0"/>
        <v>エラー</v>
      </c>
      <c r="D9" s="82" t="s">
        <v>63</v>
      </c>
      <c r="E9" s="8" t="str">
        <f t="shared" si="1"/>
        <v>選選ん</v>
      </c>
      <c r="F9" s="21"/>
      <c r="G9" s="27"/>
      <c r="I9"/>
      <c r="J9" s="82" t="s">
        <v>63</v>
      </c>
      <c r="K9" s="128" t="str">
        <f>IF(LEFT(E9,1)="選","エラー",IF(RIGHT(E9,1)="－","エラー",""))</f>
        <v>エラー</v>
      </c>
      <c r="L9" s="120" t="str">
        <f>IF(E7="ポスター発表","***", CONCATENATE(LEFT(ASC(申込シート!D12),1),LEFT(申込シート!D13,2)))</f>
        <v>選選ん</v>
      </c>
      <c r="M9" s="147"/>
      <c r="N9"/>
    </row>
    <row r="10" spans="1:14" ht="14.25" x14ac:dyDescent="0.15">
      <c r="A10" s="27"/>
      <c r="B10" s="20"/>
      <c r="C10" s="42" t="str">
        <f t="shared" si="0"/>
        <v>エラー</v>
      </c>
      <c r="D10" s="82" t="s">
        <v>64</v>
      </c>
      <c r="E10" s="8" t="str">
        <f t="shared" si="1"/>
        <v/>
      </c>
      <c r="F10" s="21"/>
      <c r="G10" s="27"/>
      <c r="I10"/>
      <c r="J10" s="82" t="s">
        <v>64</v>
      </c>
      <c r="K10" s="128" t="str">
        <f>IF(E10="", "エラー", "")</f>
        <v>エラー</v>
      </c>
      <c r="L10" s="120" t="str">
        <f>IF(申込シート!D15=0,"",申込シート!D15)</f>
        <v/>
      </c>
      <c r="M10" s="147"/>
      <c r="N10"/>
    </row>
    <row r="11" spans="1:14" ht="13.5" customHeight="1" x14ac:dyDescent="0.15">
      <c r="A11" s="27"/>
      <c r="B11" s="20"/>
      <c r="C11" s="42" t="str">
        <f t="shared" si="0"/>
        <v>エラー</v>
      </c>
      <c r="D11" s="83" t="s">
        <v>65</v>
      </c>
      <c r="E11" s="8" t="str">
        <f t="shared" si="1"/>
        <v>*1</v>
      </c>
      <c r="F11" s="21"/>
      <c r="G11" s="27"/>
      <c r="I11"/>
      <c r="J11" s="115" t="s">
        <v>65</v>
      </c>
      <c r="K11" s="128" t="str">
        <f>IF(M11="", IF(E11="*1", "エラー", ""),"エラー")</f>
        <v>エラー</v>
      </c>
      <c r="L11" s="120" t="str">
        <f>CONCATENATE(申込シート!D24, "*1",IF(申込シート!D25=0, "", CONCATENATE("，",申込シート!D25,"*2")), IF(申込シート!D26=0,"", CONCATENATE("，",申込シート!D26,"*3")),IF(申込シート!D27=0,"", CONCATENATE("，",申込シート!D27,"*4")),IF(申込シート!D28=0,"", CONCATENATE("，",申込シート!D28,"*5")))</f>
        <v>*1</v>
      </c>
      <c r="M11" s="147" t="str">
        <f>申込シート!W29</f>
        <v>エラー</v>
      </c>
      <c r="N11"/>
    </row>
    <row r="12" spans="1:14" x14ac:dyDescent="0.15">
      <c r="A12" s="27"/>
      <c r="B12" s="20"/>
      <c r="C12" s="256" t="str">
        <f t="shared" si="0"/>
        <v>エラー</v>
      </c>
      <c r="D12" s="233" t="s">
        <v>8</v>
      </c>
      <c r="E12" s="254" t="str">
        <f t="shared" si="1"/>
        <v/>
      </c>
      <c r="F12" s="21"/>
      <c r="G12" s="27"/>
      <c r="I12"/>
      <c r="J12" s="258" t="s">
        <v>8</v>
      </c>
      <c r="K12" s="129" t="str">
        <f>IF(M12="", IF(K13="","","エラー"),"エラー")</f>
        <v>エラー</v>
      </c>
      <c r="L12" s="121"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48" t="str">
        <f>申込シート!R46</f>
        <v>エラー</v>
      </c>
      <c r="N12"/>
    </row>
    <row r="13" spans="1:14" x14ac:dyDescent="0.15">
      <c r="A13" s="27"/>
      <c r="B13" s="20"/>
      <c r="C13" s="257"/>
      <c r="D13" s="234"/>
      <c r="E13" s="255"/>
      <c r="F13" s="21"/>
      <c r="G13" s="27"/>
      <c r="I13"/>
      <c r="J13" s="234"/>
      <c r="K13" s="149"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22" t="s">
        <v>124</v>
      </c>
      <c r="M13" s="146"/>
      <c r="N13"/>
    </row>
    <row r="14" spans="1:14" ht="14.25" x14ac:dyDescent="0.15">
      <c r="A14" s="27"/>
      <c r="B14" s="20"/>
      <c r="C14" s="42" t="str">
        <f>K14</f>
        <v>エラー</v>
      </c>
      <c r="D14" s="82" t="s">
        <v>66</v>
      </c>
      <c r="E14" s="8" t="str">
        <f>L14</f>
        <v/>
      </c>
      <c r="F14" s="21"/>
      <c r="G14" s="27"/>
      <c r="I14"/>
      <c r="J14" s="82" t="s">
        <v>66</v>
      </c>
      <c r="K14" s="130" t="str">
        <f>IF(E14="", "エラー", "")</f>
        <v>エラー</v>
      </c>
      <c r="L14" s="123" t="str">
        <f>CONCATENATE(申込シート!D48, IF(申込シート!D49=0,"",CONCATENATE(", ", 申込シート!D49)), IF(申込シート!D50=0,"",CONCATENATE(", ", 申込シート!D50)), IF(申込シート!D51=0,"",CONCATENATE(", ", 申込シート!D51)), IF(申込シート!D52=0,"",CONCATENATE(", ", 申込シート!D52)))</f>
        <v/>
      </c>
      <c r="M14" s="147"/>
      <c r="N14"/>
    </row>
    <row r="15" spans="1:14" ht="6" customHeight="1" x14ac:dyDescent="0.15">
      <c r="A15" s="27"/>
      <c r="B15" s="20"/>
      <c r="C15" s="43"/>
      <c r="D15" s="74"/>
      <c r="E15" s="3"/>
      <c r="F15" s="21"/>
      <c r="G15" s="27"/>
      <c r="I15"/>
      <c r="J15" s="113"/>
      <c r="K15" s="114"/>
      <c r="L15" s="124"/>
      <c r="M15" s="124"/>
      <c r="N15"/>
    </row>
    <row r="16" spans="1:14" ht="14.25" x14ac:dyDescent="0.15">
      <c r="A16" s="27"/>
      <c r="B16" s="20"/>
      <c r="C16" s="44"/>
      <c r="D16" s="73" t="s">
        <v>0</v>
      </c>
      <c r="E16" s="7"/>
      <c r="F16" s="21"/>
      <c r="G16" s="27"/>
      <c r="I16"/>
      <c r="J16" s="73" t="s">
        <v>0</v>
      </c>
      <c r="K16" s="6"/>
      <c r="L16" s="125"/>
      <c r="M16" s="124"/>
      <c r="N16"/>
    </row>
    <row r="17" spans="1:14" x14ac:dyDescent="0.15">
      <c r="A17" s="27"/>
      <c r="B17" s="20"/>
      <c r="C17" s="256" t="str">
        <f>K17</f>
        <v>エラー</v>
      </c>
      <c r="D17" s="233" t="s">
        <v>67</v>
      </c>
      <c r="E17" s="254" t="str">
        <f>L17</f>
        <v/>
      </c>
      <c r="F17" s="21"/>
      <c r="G17" s="27"/>
      <c r="I17"/>
      <c r="J17" s="233" t="s">
        <v>67</v>
      </c>
      <c r="K17" s="129" t="str">
        <f>IF(E17="", "エラー", "")</f>
        <v>エラー</v>
      </c>
      <c r="L17" s="126" t="str">
        <f>IF(申込シート!D56=0,"",申込シート!D56)</f>
        <v/>
      </c>
      <c r="M17" s="124"/>
      <c r="N17"/>
    </row>
    <row r="18" spans="1:14" x14ac:dyDescent="0.15">
      <c r="A18" s="27"/>
      <c r="B18" s="20"/>
      <c r="C18" s="257"/>
      <c r="D18" s="234"/>
      <c r="E18" s="255"/>
      <c r="F18" s="21"/>
      <c r="G18" s="27"/>
      <c r="I18"/>
      <c r="J18" s="234"/>
      <c r="K18" s="117" t="s">
        <v>124</v>
      </c>
      <c r="L18" s="127" t="s">
        <v>124</v>
      </c>
      <c r="M18" s="140"/>
      <c r="N18"/>
    </row>
    <row r="19" spans="1:14" x14ac:dyDescent="0.15">
      <c r="A19" s="27"/>
      <c r="B19" s="20"/>
      <c r="C19" s="256" t="str">
        <f>K19</f>
        <v>エラー</v>
      </c>
      <c r="D19" s="233" t="s">
        <v>68</v>
      </c>
      <c r="E19" s="254" t="str">
        <f>L19</f>
        <v/>
      </c>
      <c r="F19" s="21"/>
      <c r="G19" s="27"/>
      <c r="I19"/>
      <c r="J19" s="233" t="s">
        <v>68</v>
      </c>
      <c r="K19" s="129" t="str">
        <f>IF(E19="", "エラー", "")</f>
        <v>エラー</v>
      </c>
      <c r="L19" s="126" t="str">
        <f>IF(申込シート!D59=0,"",申込シート!D59)</f>
        <v/>
      </c>
      <c r="M19" s="124"/>
      <c r="N19"/>
    </row>
    <row r="20" spans="1:14" x14ac:dyDescent="0.15">
      <c r="A20" s="27"/>
      <c r="B20" s="20"/>
      <c r="C20" s="257"/>
      <c r="D20" s="234"/>
      <c r="E20" s="255"/>
      <c r="F20" s="21"/>
      <c r="G20" s="27"/>
      <c r="I20"/>
      <c r="J20" s="234"/>
      <c r="K20" s="117" t="s">
        <v>124</v>
      </c>
      <c r="L20" s="127" t="s">
        <v>124</v>
      </c>
      <c r="M20" s="140"/>
      <c r="N20"/>
    </row>
    <row r="21" spans="1:14" x14ac:dyDescent="0.15">
      <c r="A21" s="27"/>
      <c r="B21" s="20"/>
      <c r="C21" s="256" t="str">
        <f>K21</f>
        <v>エラー</v>
      </c>
      <c r="D21" s="233" t="s">
        <v>69</v>
      </c>
      <c r="E21" s="254" t="str">
        <f>L21</f>
        <v/>
      </c>
      <c r="F21" s="21"/>
      <c r="G21" s="27"/>
      <c r="I21"/>
      <c r="J21" s="233" t="s">
        <v>69</v>
      </c>
      <c r="K21" s="129" t="str">
        <f>IF(E21="", "エラー", "")</f>
        <v>エラー</v>
      </c>
      <c r="L21" s="126" t="str">
        <f>IF(申込シート!D62=0,"",申込シート!D62)</f>
        <v/>
      </c>
      <c r="M21" s="124"/>
      <c r="N21"/>
    </row>
    <row r="22" spans="1:14" x14ac:dyDescent="0.15">
      <c r="A22" s="27"/>
      <c r="B22" s="20"/>
      <c r="C22" s="257"/>
      <c r="D22" s="234"/>
      <c r="E22" s="255"/>
      <c r="F22" s="21"/>
      <c r="G22" s="27"/>
      <c r="I22"/>
      <c r="J22" s="234"/>
      <c r="K22" s="117" t="s">
        <v>124</v>
      </c>
      <c r="L22" s="127" t="s">
        <v>124</v>
      </c>
      <c r="M22" s="140"/>
      <c r="N22"/>
    </row>
    <row r="23" spans="1:14" ht="6" customHeight="1" x14ac:dyDescent="0.15">
      <c r="A23" s="27"/>
      <c r="B23" s="20"/>
      <c r="C23" s="43"/>
      <c r="D23" s="1"/>
      <c r="E23" s="3"/>
      <c r="F23" s="21"/>
      <c r="G23" s="27"/>
      <c r="I23"/>
      <c r="J23" s="27"/>
      <c r="K23" s="114"/>
      <c r="L23" s="124"/>
      <c r="M23" s="124"/>
      <c r="N23"/>
    </row>
    <row r="24" spans="1:14" ht="14.25" x14ac:dyDescent="0.15">
      <c r="A24" s="27"/>
      <c r="B24" s="20"/>
      <c r="C24" s="44"/>
      <c r="D24" s="73" t="s">
        <v>12</v>
      </c>
      <c r="E24" s="7"/>
      <c r="F24" s="21"/>
      <c r="G24" s="27"/>
      <c r="I24"/>
      <c r="J24" s="73" t="s">
        <v>12</v>
      </c>
      <c r="K24" s="6"/>
      <c r="L24" s="119"/>
      <c r="M24" s="124"/>
      <c r="N24"/>
    </row>
    <row r="25" spans="1:14" ht="14.25" x14ac:dyDescent="0.15">
      <c r="A25" s="27"/>
      <c r="B25" s="20"/>
      <c r="C25" s="42" t="str">
        <f>K25</f>
        <v>エラー</v>
      </c>
      <c r="D25" s="81" t="s">
        <v>49</v>
      </c>
      <c r="E25" s="8" t="str">
        <f>IF(E7="ポスター発表","***",CONCATENATE("液晶プロジェクタ  使用OS名：",申込シート!D66))</f>
        <v>液晶プロジェクタ  使用OS名：OSを選んで下さい</v>
      </c>
      <c r="F25" s="21"/>
      <c r="G25" s="27"/>
      <c r="I25"/>
      <c r="J25" s="81" t="s">
        <v>49</v>
      </c>
      <c r="K25" s="128" t="str">
        <f>IF(RIGHT(E25,1)="い","エラー","")</f>
        <v>エラー</v>
      </c>
      <c r="L25" s="120" t="str">
        <f>IF(E7="ポスター発表","***",CONCATENATE("液晶プロジェクタ  使用OS名：",申込シート!D66))</f>
        <v>液晶プロジェクタ  使用OS名：OSを選んで下さい</v>
      </c>
      <c r="M25" s="124"/>
      <c r="N25"/>
    </row>
    <row r="26" spans="1:14" ht="6" customHeight="1" x14ac:dyDescent="0.15">
      <c r="A26" s="27"/>
      <c r="B26" s="20"/>
      <c r="C26" s="43"/>
      <c r="D26" s="2"/>
      <c r="E26" s="3"/>
      <c r="F26" s="21"/>
      <c r="G26" s="27"/>
      <c r="I26"/>
      <c r="J26" s="67"/>
      <c r="K26" s="114"/>
      <c r="L26" s="124"/>
      <c r="M26" s="124"/>
      <c r="N26"/>
    </row>
    <row r="27" spans="1:14" ht="14.25" x14ac:dyDescent="0.15">
      <c r="A27" s="27"/>
      <c r="B27" s="20"/>
      <c r="C27" s="44"/>
      <c r="D27" s="73" t="s">
        <v>25</v>
      </c>
      <c r="E27" s="7"/>
      <c r="F27" s="21"/>
      <c r="G27" s="27"/>
      <c r="I27"/>
      <c r="J27" s="73" t="s">
        <v>25</v>
      </c>
      <c r="K27" s="6"/>
      <c r="L27" s="119"/>
      <c r="M27" s="124"/>
      <c r="N27"/>
    </row>
    <row r="28" spans="1:14" ht="14.25" x14ac:dyDescent="0.15">
      <c r="A28" s="27"/>
      <c r="B28" s="20"/>
      <c r="C28" s="42" t="str">
        <f>K28</f>
        <v>エラー</v>
      </c>
      <c r="D28" s="82" t="s">
        <v>201</v>
      </c>
      <c r="E28" s="8" t="str">
        <f>L28</f>
        <v/>
      </c>
      <c r="F28" s="21"/>
      <c r="G28" s="27"/>
      <c r="I28"/>
      <c r="J28" s="82" t="s">
        <v>70</v>
      </c>
      <c r="K28" s="128" t="str">
        <f>IF(E28="", "エラー", "")</f>
        <v>エラー</v>
      </c>
      <c r="L28" s="120" t="str">
        <f>IF(申込シート!D70=0,"",申込シート!D70)</f>
        <v/>
      </c>
      <c r="M28" s="124"/>
      <c r="N28"/>
    </row>
    <row r="29" spans="1:14" ht="14.25" x14ac:dyDescent="0.15">
      <c r="A29" s="27"/>
      <c r="B29" s="20"/>
      <c r="C29" s="42" t="str">
        <f t="shared" ref="C29:C35" si="2">K29</f>
        <v>エラー</v>
      </c>
      <c r="D29" s="82" t="s">
        <v>71</v>
      </c>
      <c r="E29" s="8" t="str">
        <f t="shared" ref="E29:E35" si="3">L29</f>
        <v/>
      </c>
      <c r="F29" s="21"/>
      <c r="G29" s="27"/>
      <c r="I29"/>
      <c r="J29" s="82" t="s">
        <v>71</v>
      </c>
      <c r="K29" s="128" t="str">
        <f>IF(E29="", "エラー", "")</f>
        <v>エラー</v>
      </c>
      <c r="L29" s="120" t="str">
        <f>IF(申込シート!D71=0,"",申込シート!D71)</f>
        <v/>
      </c>
      <c r="M29" s="124"/>
      <c r="N29"/>
    </row>
    <row r="30" spans="1:14" ht="14.25" x14ac:dyDescent="0.15">
      <c r="A30" s="27"/>
      <c r="B30" s="20"/>
      <c r="C30" s="42" t="str">
        <f t="shared" si="2"/>
        <v>エラー</v>
      </c>
      <c r="D30" s="82" t="s">
        <v>58</v>
      </c>
      <c r="E30" s="8" t="str">
        <f t="shared" si="3"/>
        <v/>
      </c>
      <c r="F30" s="21"/>
      <c r="G30" s="27"/>
      <c r="I30"/>
      <c r="J30" s="82" t="s">
        <v>58</v>
      </c>
      <c r="K30" s="128" t="str">
        <f t="shared" ref="K30:K35" si="4">IF(E30="", "エラー", "")</f>
        <v>エラー</v>
      </c>
      <c r="L30" s="120" t="str">
        <f>IF(申込シート!D74=0,"",申込シート!D74)</f>
        <v/>
      </c>
      <c r="M30" s="124"/>
      <c r="N30"/>
    </row>
    <row r="31" spans="1:14" ht="14.25" x14ac:dyDescent="0.15">
      <c r="A31" s="27"/>
      <c r="B31" s="20"/>
      <c r="C31" s="42" t="str">
        <f t="shared" si="2"/>
        <v>エラー</v>
      </c>
      <c r="D31" s="82" t="s">
        <v>202</v>
      </c>
      <c r="E31" s="8" t="str">
        <f t="shared" si="3"/>
        <v/>
      </c>
      <c r="F31" s="21"/>
      <c r="G31" s="27"/>
      <c r="I31"/>
      <c r="J31" s="82" t="s">
        <v>59</v>
      </c>
      <c r="K31" s="128" t="str">
        <f t="shared" si="4"/>
        <v>エラー</v>
      </c>
      <c r="L31" s="120" t="str">
        <f>IF(申込シート!D75=0,"",申込シート!D75)</f>
        <v/>
      </c>
      <c r="M31" s="124"/>
      <c r="N31"/>
    </row>
    <row r="32" spans="1:14" ht="14.25" x14ac:dyDescent="0.15">
      <c r="A32" s="27"/>
      <c r="B32" s="20"/>
      <c r="C32" s="42" t="str">
        <f t="shared" si="2"/>
        <v>エラー</v>
      </c>
      <c r="D32" s="82" t="s">
        <v>199</v>
      </c>
      <c r="E32" s="8" t="str">
        <f t="shared" si="3"/>
        <v/>
      </c>
      <c r="F32" s="21"/>
      <c r="G32" s="27"/>
      <c r="I32"/>
      <c r="J32" s="82" t="s">
        <v>72</v>
      </c>
      <c r="K32" s="128" t="str">
        <f t="shared" si="4"/>
        <v>エラー</v>
      </c>
      <c r="L32" s="120" t="str">
        <f>IF(申込シート!D76=0,"",申込シート!D76)</f>
        <v/>
      </c>
      <c r="M32" s="124"/>
      <c r="N32"/>
    </row>
    <row r="33" spans="1:14" ht="14.25" x14ac:dyDescent="0.15">
      <c r="A33" s="27"/>
      <c r="B33" s="20"/>
      <c r="C33" s="42" t="str">
        <f t="shared" si="2"/>
        <v>エラー</v>
      </c>
      <c r="D33" s="82" t="s">
        <v>200</v>
      </c>
      <c r="E33" s="8" t="str">
        <f t="shared" si="3"/>
        <v/>
      </c>
      <c r="F33" s="21"/>
      <c r="G33" s="27"/>
      <c r="I33"/>
      <c r="J33" s="82" t="s">
        <v>73</v>
      </c>
      <c r="K33" s="128" t="str">
        <f t="shared" si="4"/>
        <v>エラー</v>
      </c>
      <c r="L33" s="120" t="str">
        <f>IF(申込シート!D77=0,"",申込シート!D77)</f>
        <v/>
      </c>
      <c r="M33" s="124"/>
      <c r="N33"/>
    </row>
    <row r="34" spans="1:14" ht="14.25" x14ac:dyDescent="0.15">
      <c r="A34" s="27"/>
      <c r="B34" s="20"/>
      <c r="C34" s="42" t="str">
        <f t="shared" si="2"/>
        <v>エラー</v>
      </c>
      <c r="D34" s="82" t="s">
        <v>73</v>
      </c>
      <c r="E34" s="8" t="str">
        <f t="shared" si="3"/>
        <v/>
      </c>
      <c r="F34" s="21"/>
      <c r="G34" s="27"/>
      <c r="I34"/>
      <c r="J34" s="82" t="s">
        <v>74</v>
      </c>
      <c r="K34" s="128" t="str">
        <f t="shared" si="4"/>
        <v>エラー</v>
      </c>
      <c r="L34" s="120" t="str">
        <f>IF(申込シート!D78=0,"",申込シート!D78)</f>
        <v/>
      </c>
      <c r="M34" s="124"/>
      <c r="N34"/>
    </row>
    <row r="35" spans="1:14" ht="14.25" x14ac:dyDescent="0.15">
      <c r="A35" s="27"/>
      <c r="B35" s="20"/>
      <c r="C35" s="42" t="str">
        <f t="shared" si="2"/>
        <v>エラー</v>
      </c>
      <c r="D35" s="82" t="s">
        <v>75</v>
      </c>
      <c r="E35" s="8" t="str">
        <f t="shared" si="3"/>
        <v/>
      </c>
      <c r="F35" s="21"/>
      <c r="G35" s="27"/>
      <c r="I35"/>
      <c r="J35" s="82" t="s">
        <v>75</v>
      </c>
      <c r="K35" s="128" t="str">
        <f t="shared" si="4"/>
        <v>エラー</v>
      </c>
      <c r="L35" s="120" t="str">
        <f>IF(申込シート!D79=0,"",申込シート!D79)</f>
        <v/>
      </c>
      <c r="M35" s="124"/>
      <c r="N35"/>
    </row>
    <row r="36" spans="1:14" ht="6" customHeight="1" x14ac:dyDescent="0.15">
      <c r="A36" s="27"/>
      <c r="B36" s="20"/>
      <c r="C36" s="43"/>
      <c r="D36" s="1"/>
      <c r="E36" s="3"/>
      <c r="F36" s="21"/>
      <c r="G36" s="27"/>
      <c r="I36"/>
      <c r="J36" s="27"/>
      <c r="K36" s="114"/>
      <c r="L36" s="124"/>
      <c r="M36" s="124"/>
      <c r="N36"/>
    </row>
    <row r="37" spans="1:14" x14ac:dyDescent="0.15">
      <c r="A37" s="27"/>
      <c r="B37" s="20"/>
      <c r="C37" s="44"/>
      <c r="D37" s="4" t="str">
        <f>J37</f>
        <v>第32回学術奨励講演賞（ポスター発表）</v>
      </c>
      <c r="E37" s="7"/>
      <c r="F37" s="21"/>
      <c r="G37" s="27"/>
      <c r="I37"/>
      <c r="J37" s="4" t="str">
        <f>申込シート!C81</f>
        <v>第32回学術奨励講演賞（ポスター発表）</v>
      </c>
      <c r="K37" s="6"/>
      <c r="L37" s="119"/>
      <c r="M37" s="124"/>
      <c r="N37"/>
    </row>
    <row r="38" spans="1:14" x14ac:dyDescent="0.15">
      <c r="A38" s="27"/>
      <c r="B38" s="20"/>
      <c r="C38" s="42" t="str">
        <f>K38</f>
        <v/>
      </c>
      <c r="D38" s="85" t="s">
        <v>14</v>
      </c>
      <c r="E38" s="8" t="str">
        <f>L38</f>
        <v>応募しない</v>
      </c>
      <c r="F38" s="21"/>
      <c r="G38" s="27"/>
      <c r="I38"/>
      <c r="J38" s="85" t="s">
        <v>14</v>
      </c>
      <c r="K38" s="128" t="str">
        <f>IF(L45="春", IF(E38="応募する",IF(E7="ポスター発表","","エラー"),""), "")</f>
        <v/>
      </c>
      <c r="L38" s="120" t="str">
        <f>申込シート!D82</f>
        <v>応募しない</v>
      </c>
      <c r="M38" s="124"/>
      <c r="N38"/>
    </row>
    <row r="39" spans="1:14" x14ac:dyDescent="0.15">
      <c r="A39" s="27"/>
      <c r="B39" s="20"/>
      <c r="C39" s="42" t="str">
        <f>K39</f>
        <v/>
      </c>
      <c r="D39" s="85" t="s">
        <v>87</v>
      </c>
      <c r="E39" s="58" t="str">
        <f>L39</f>
        <v/>
      </c>
      <c r="F39" s="21"/>
      <c r="G39" s="27"/>
      <c r="I39"/>
      <c r="J39" s="85" t="s">
        <v>87</v>
      </c>
      <c r="K39" s="128" t="str">
        <f>IF(E38="応募する",IF(E39="","エラー",""),"")</f>
        <v/>
      </c>
      <c r="L39" s="120" t="str">
        <f>IF(申込シート!D83=0,"",申込シート!D83)</f>
        <v/>
      </c>
      <c r="M39" s="124"/>
      <c r="N39"/>
    </row>
    <row r="40" spans="1:14" x14ac:dyDescent="0.15">
      <c r="A40" s="27"/>
      <c r="B40" s="20"/>
      <c r="C40" s="42" t="str">
        <f>K40</f>
        <v/>
      </c>
      <c r="D40" s="85" t="s">
        <v>78</v>
      </c>
      <c r="E40" s="137" t="str">
        <f>L40</f>
        <v/>
      </c>
      <c r="F40" s="21"/>
      <c r="G40" s="27"/>
      <c r="I40"/>
      <c r="J40" s="85" t="s">
        <v>78</v>
      </c>
      <c r="K40" s="128" t="str">
        <f>IF(E38="応募する",IF(E40="","エラー",""),"")</f>
        <v/>
      </c>
      <c r="L40" s="138" t="str">
        <f>IF(申込シート!D84=0,"",申込シート!D84)</f>
        <v/>
      </c>
      <c r="M40" s="141"/>
      <c r="N40"/>
    </row>
    <row r="41" spans="1:14" ht="6" customHeight="1" x14ac:dyDescent="0.15">
      <c r="A41" s="27"/>
      <c r="B41" s="20"/>
      <c r="C41" s="45"/>
      <c r="D41" s="23"/>
      <c r="E41" s="25"/>
      <c r="F41" s="21"/>
      <c r="G41" s="27"/>
      <c r="I41"/>
      <c r="J41"/>
      <c r="K41"/>
      <c r="L41" s="124"/>
      <c r="M41" s="124"/>
      <c r="N41"/>
    </row>
    <row r="42" spans="1:14" x14ac:dyDescent="0.15">
      <c r="A42" s="27"/>
      <c r="B42" s="20"/>
      <c r="C42" s="46"/>
      <c r="D42" s="37" t="s">
        <v>22</v>
      </c>
      <c r="E42" s="38"/>
      <c r="F42" s="21"/>
      <c r="G42" s="27"/>
      <c r="I42"/>
      <c r="J42" s="6" t="s">
        <v>123</v>
      </c>
      <c r="K42" s="4"/>
      <c r="L42" s="119"/>
      <c r="M42" s="124"/>
      <c r="N42"/>
    </row>
    <row r="43" spans="1:14" x14ac:dyDescent="0.15">
      <c r="A43" s="27"/>
      <c r="B43" s="20"/>
      <c r="C43" s="47"/>
      <c r="D43" s="259" t="str">
        <f>L43</f>
        <v/>
      </c>
      <c r="E43" s="260"/>
      <c r="F43" s="21"/>
      <c r="G43" s="27"/>
      <c r="I43"/>
      <c r="J43" s="116" t="s">
        <v>124</v>
      </c>
      <c r="K43" s="116" t="s">
        <v>124</v>
      </c>
      <c r="L43" s="120" t="str">
        <f>IF(申込シート!D87=0,"",申込シート!D87)</f>
        <v/>
      </c>
      <c r="M43" s="124"/>
      <c r="N43"/>
    </row>
    <row r="44" spans="1:14" x14ac:dyDescent="0.15">
      <c r="A44" s="27"/>
      <c r="B44" s="20"/>
      <c r="C44" s="48"/>
      <c r="D44" s="261"/>
      <c r="E44" s="262"/>
      <c r="F44" s="21"/>
      <c r="G44" s="27"/>
      <c r="I44"/>
      <c r="J44"/>
      <c r="K44"/>
      <c r="L44"/>
      <c r="M44"/>
      <c r="N44"/>
    </row>
    <row r="45" spans="1:14" ht="14.25" customHeight="1" x14ac:dyDescent="0.15">
      <c r="A45" s="27"/>
      <c r="B45" s="20"/>
      <c r="C45" s="30"/>
      <c r="D45" s="1"/>
      <c r="E45" s="3"/>
      <c r="F45" s="21"/>
      <c r="G45" s="27"/>
      <c r="I45"/>
      <c r="J45" s="4" t="s">
        <v>173</v>
      </c>
      <c r="K45" s="116" t="s">
        <v>147</v>
      </c>
      <c r="L45" s="128" t="str">
        <f>申込シート!N64</f>
        <v>春</v>
      </c>
      <c r="M45" s="142"/>
      <c r="N45"/>
    </row>
    <row r="46" spans="1:14" ht="14.25" customHeight="1" x14ac:dyDescent="0.15">
      <c r="A46" s="27"/>
      <c r="B46" s="20"/>
      <c r="C46" s="248" t="s">
        <v>79</v>
      </c>
      <c r="D46" s="249"/>
      <c r="E46" s="250"/>
      <c r="F46" s="21"/>
      <c r="G46" s="27"/>
      <c r="I46"/>
      <c r="J46" s="4" t="s">
        <v>125</v>
      </c>
      <c r="K46" s="116" t="s">
        <v>147</v>
      </c>
      <c r="L46" s="111" t="str">
        <f ca="1">IF(申込シート!T3="", "", 申込シート!T3)</f>
        <v/>
      </c>
      <c r="M46"/>
      <c r="N46"/>
    </row>
    <row r="47" spans="1:14" ht="14.25" customHeight="1" x14ac:dyDescent="0.15">
      <c r="A47" s="27"/>
      <c r="B47" s="20"/>
      <c r="C47" s="245" t="s">
        <v>76</v>
      </c>
      <c r="D47" s="246"/>
      <c r="E47" s="247"/>
      <c r="F47" s="21"/>
      <c r="G47" s="27"/>
      <c r="I47"/>
      <c r="J47"/>
      <c r="K47" s="114"/>
      <c r="L47"/>
      <c r="M47"/>
      <c r="N47"/>
    </row>
    <row r="48" spans="1:14" ht="14.25" customHeight="1" x14ac:dyDescent="0.15">
      <c r="A48" s="27"/>
      <c r="B48" s="20"/>
      <c r="C48" s="245" t="str">
        <f ca="1">CONCATENATE("現在のファイル名は，「",申込シート!T5,"」です．")</f>
        <v>現在のファイル名は，「SFJ2026S.xlsx」です．</v>
      </c>
      <c r="D48" s="246"/>
      <c r="E48" s="247"/>
      <c r="F48" s="21"/>
      <c r="G48" s="27"/>
      <c r="I48"/>
      <c r="J48" s="4" t="s">
        <v>146</v>
      </c>
      <c r="K48" s="116" t="s">
        <v>147</v>
      </c>
      <c r="L48" s="135" t="str">
        <f>IF(CONCATENATE(C7,C8,C9,C10,C11,C12,C14,C17,C19,C21,C25,C28,C29,C30,C31,C32,C33,C34,C35,C38,C39,C40)="","OK","エラー有")</f>
        <v>エラー有</v>
      </c>
      <c r="M48" s="143"/>
      <c r="N48"/>
    </row>
    <row r="49" spans="1:14" ht="16.5" customHeight="1" x14ac:dyDescent="0.2">
      <c r="A49" s="27"/>
      <c r="B49" s="20"/>
      <c r="C49" s="242" t="str">
        <f>申込シート!N58</f>
        <v>meeting@sfj.or.jp</v>
      </c>
      <c r="D49" s="243"/>
      <c r="E49" s="244"/>
      <c r="F49" s="21"/>
      <c r="G49" s="27"/>
      <c r="I49"/>
      <c r="J49"/>
      <c r="K49"/>
      <c r="L49"/>
      <c r="M49"/>
      <c r="N49"/>
    </row>
    <row r="50" spans="1:14" ht="18" customHeight="1" x14ac:dyDescent="0.15">
      <c r="A50" s="27"/>
      <c r="B50" s="20"/>
      <c r="C50" s="251" t="str">
        <f ca="1">申込シート!N59</f>
        <v xml:space="preserve">  (上記アドレスをクリックすると自動的に送信メールが立ち上がります)</v>
      </c>
      <c r="D50" s="252"/>
      <c r="E50" s="253"/>
      <c r="F50" s="21"/>
      <c r="G50" s="27"/>
      <c r="I50"/>
      <c r="J50"/>
      <c r="K50"/>
      <c r="L50"/>
      <c r="M50"/>
      <c r="N50"/>
    </row>
    <row r="51" spans="1:14" ht="14.25" customHeight="1" x14ac:dyDescent="0.15">
      <c r="A51" s="27"/>
      <c r="B51" s="20"/>
      <c r="C51" s="239" t="str">
        <f ca="1">申込シート!N60</f>
        <v>なお，受取確認は，受信したメール（件名：講演申込，添付ファイル付）に対し，自動的に送信されます．</v>
      </c>
      <c r="D51" s="240"/>
      <c r="E51" s="241"/>
      <c r="F51" s="21"/>
      <c r="G51" s="27"/>
      <c r="I51"/>
      <c r="J51"/>
      <c r="K51"/>
      <c r="L51"/>
      <c r="M51"/>
      <c r="N51"/>
    </row>
    <row r="52" spans="1:14" x14ac:dyDescent="0.15">
      <c r="A52" s="27"/>
      <c r="B52" s="22"/>
      <c r="C52" s="49"/>
      <c r="D52" s="23"/>
      <c r="E52" s="25"/>
      <c r="F52" s="24"/>
      <c r="G52" s="27"/>
      <c r="I52"/>
      <c r="J52"/>
      <c r="K52"/>
      <c r="L52"/>
      <c r="M52"/>
      <c r="N52"/>
    </row>
    <row r="53" spans="1:14" x14ac:dyDescent="0.15">
      <c r="A53" s="27"/>
      <c r="B53" s="27"/>
      <c r="C53" s="41"/>
      <c r="D53" s="27"/>
      <c r="E53" s="29"/>
      <c r="F53" s="67" t="str">
        <f ca="1">L46</f>
        <v/>
      </c>
      <c r="G53" s="27"/>
      <c r="I53"/>
      <c r="J53"/>
      <c r="K53"/>
      <c r="L53"/>
      <c r="M53"/>
      <c r="N53"/>
    </row>
  </sheetData>
  <sheetProtection sheet="1" objects="1" scenarios="1"/>
  <mergeCells count="25">
    <mergeCell ref="D17:D18"/>
    <mergeCell ref="D43:E44"/>
    <mergeCell ref="C21:C22"/>
    <mergeCell ref="C19:C20"/>
    <mergeCell ref="C17:C18"/>
    <mergeCell ref="E17:E18"/>
    <mergeCell ref="E19:E20"/>
    <mergeCell ref="D19:D20"/>
    <mergeCell ref="D21:D22"/>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s>
  <phoneticPr fontId="2"/>
  <conditionalFormatting sqref="C4:E4">
    <cfRule type="cellIs" dxfId="2" priority="2" stopIfTrue="1" operator="equal">
      <formula>$J$3</formula>
    </cfRule>
    <cfRule type="expression" dxfId="1" priority="3" stopIfTrue="1">
      <formula>($L$48="エラー有")</formula>
    </cfRule>
  </conditionalFormatting>
  <conditionalFormatting sqref="C50:E50">
    <cfRule type="cellIs" dxfId="0" priority="1" stopIfTrue="1" operator="equal">
      <formula>$J$3</formula>
    </cfRule>
  </conditionalFormatting>
  <hyperlinks>
    <hyperlink ref="C49" r:id="rId1" display="sfj@ce.mbn.or.jp" xr:uid="{00000000-0004-0000-0100-000000000000}"/>
    <hyperlink ref="C49:E49" r:id="rId2" display="mailto:meeting@sfj.or.jp" xr:uid="{00000000-0004-0000-0100-000001000000}"/>
  </hyperlinks>
  <printOptions horizontalCentered="1"/>
  <pageMargins left="0.59055118110236227" right="0.59055118110236227" top="0.59055118110236227" bottom="0.59055118110236227" header="0.51181102362204722" footer="0.51181102362204722"/>
  <pageSetup paperSize="9" scale="78" orientation="landscape" horizontalDpi="525" verticalDpi="525" r:id="rId3"/>
  <headerFooter alignWithMargins="0"/>
  <ignoredErrors>
    <ignoredError sqref="C4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34FE2-52B1-4278-A637-72F538B64FB4}">
  <dimension ref="A1:C49"/>
  <sheetViews>
    <sheetView showGridLines="0" zoomScaleNormal="100" workbookViewId="0">
      <selection sqref="A1:B1"/>
    </sheetView>
  </sheetViews>
  <sheetFormatPr defaultRowHeight="24" customHeight="1" x14ac:dyDescent="0.4"/>
  <cols>
    <col min="1" max="1" width="39" style="156" bestFit="1" customWidth="1"/>
    <col min="2" max="2" width="43" style="156" bestFit="1" customWidth="1"/>
    <col min="3" max="3" width="80.625" style="156" customWidth="1"/>
    <col min="4" max="16384" width="9" style="156"/>
  </cols>
  <sheetData>
    <row r="1" spans="1:3" ht="28.5" customHeight="1" x14ac:dyDescent="0.5">
      <c r="A1" s="264" t="s">
        <v>271</v>
      </c>
      <c r="B1" s="264"/>
      <c r="C1" s="155" t="s">
        <v>291</v>
      </c>
    </row>
    <row r="2" spans="1:3" ht="15.75" customHeight="1" x14ac:dyDescent="0.4">
      <c r="C2" s="157"/>
    </row>
    <row r="3" spans="1:3" ht="22.5" customHeight="1" x14ac:dyDescent="0.4">
      <c r="A3" s="158" t="s">
        <v>236</v>
      </c>
      <c r="B3" s="158" t="s">
        <v>259</v>
      </c>
      <c r="C3" s="159" t="s">
        <v>301</v>
      </c>
    </row>
    <row r="4" spans="1:3" ht="22.5" customHeight="1" x14ac:dyDescent="0.4">
      <c r="A4" s="156" t="s">
        <v>272</v>
      </c>
      <c r="B4" s="156" t="s">
        <v>273</v>
      </c>
      <c r="C4" s="160" t="s">
        <v>285</v>
      </c>
    </row>
    <row r="5" spans="1:3" ht="22.5" customHeight="1" x14ac:dyDescent="0.4">
      <c r="A5" s="156" t="s">
        <v>237</v>
      </c>
      <c r="B5" s="156" t="s">
        <v>260</v>
      </c>
      <c r="C5" s="263" t="s">
        <v>303</v>
      </c>
    </row>
    <row r="6" spans="1:3" ht="22.5" customHeight="1" x14ac:dyDescent="0.4">
      <c r="A6" s="156" t="s">
        <v>238</v>
      </c>
      <c r="B6" s="156" t="s">
        <v>261</v>
      </c>
      <c r="C6" s="263"/>
    </row>
    <row r="7" spans="1:3" ht="22.5" customHeight="1" x14ac:dyDescent="0.4">
      <c r="A7" s="156" t="s">
        <v>239</v>
      </c>
      <c r="B7" s="156" t="s">
        <v>262</v>
      </c>
      <c r="C7" s="263"/>
    </row>
    <row r="8" spans="1:3" ht="22.5" customHeight="1" x14ac:dyDescent="0.4">
      <c r="A8" s="156" t="s">
        <v>240</v>
      </c>
      <c r="B8" s="156" t="s">
        <v>263</v>
      </c>
      <c r="C8" s="263"/>
    </row>
    <row r="9" spans="1:3" ht="22.5" customHeight="1" x14ac:dyDescent="0.4">
      <c r="A9" s="156" t="s">
        <v>241</v>
      </c>
      <c r="B9" s="156" t="s">
        <v>264</v>
      </c>
      <c r="C9" s="263"/>
    </row>
    <row r="10" spans="1:3" ht="22.5" customHeight="1" x14ac:dyDescent="0.4">
      <c r="A10" s="156" t="s">
        <v>242</v>
      </c>
      <c r="B10" s="156" t="s">
        <v>265</v>
      </c>
      <c r="C10" s="263"/>
    </row>
    <row r="11" spans="1:3" ht="22.5" customHeight="1" x14ac:dyDescent="0.4">
      <c r="A11" s="156" t="s">
        <v>243</v>
      </c>
      <c r="C11" s="162"/>
    </row>
    <row r="12" spans="1:3" ht="22.5" customHeight="1" x14ac:dyDescent="0.4">
      <c r="A12" s="156" t="s">
        <v>244</v>
      </c>
      <c r="B12" s="158" t="s">
        <v>266</v>
      </c>
      <c r="C12" s="159" t="s">
        <v>304</v>
      </c>
    </row>
    <row r="13" spans="1:3" ht="22.5" customHeight="1" x14ac:dyDescent="0.4">
      <c r="A13" s="156" t="s">
        <v>274</v>
      </c>
      <c r="B13" s="156" t="s">
        <v>267</v>
      </c>
      <c r="C13" s="160" t="s">
        <v>306</v>
      </c>
    </row>
    <row r="14" spans="1:3" ht="22.5" customHeight="1" x14ac:dyDescent="0.4">
      <c r="B14" s="156" t="s">
        <v>268</v>
      </c>
      <c r="C14" s="263" t="s">
        <v>305</v>
      </c>
    </row>
    <row r="15" spans="1:3" ht="22.5" customHeight="1" x14ac:dyDescent="0.4">
      <c r="A15" s="158" t="s">
        <v>245</v>
      </c>
      <c r="B15" s="156" t="s">
        <v>275</v>
      </c>
      <c r="C15" s="263"/>
    </row>
    <row r="16" spans="1:3" ht="22.5" customHeight="1" x14ac:dyDescent="0.4">
      <c r="A16" s="156" t="s">
        <v>276</v>
      </c>
      <c r="B16" s="156" t="s">
        <v>277</v>
      </c>
      <c r="C16" s="263"/>
    </row>
    <row r="17" spans="1:3" ht="22.5" customHeight="1" x14ac:dyDescent="0.4">
      <c r="A17" s="156" t="s">
        <v>246</v>
      </c>
      <c r="B17" s="156" t="s">
        <v>269</v>
      </c>
      <c r="C17" s="159" t="s">
        <v>292</v>
      </c>
    </row>
    <row r="18" spans="1:3" ht="22.5" customHeight="1" x14ac:dyDescent="0.4">
      <c r="A18" s="156" t="s">
        <v>247</v>
      </c>
      <c r="B18" s="156" t="s">
        <v>278</v>
      </c>
      <c r="C18" s="160" t="s">
        <v>286</v>
      </c>
    </row>
    <row r="19" spans="1:3" ht="22.5" customHeight="1" x14ac:dyDescent="0.4">
      <c r="A19" s="156" t="s">
        <v>248</v>
      </c>
      <c r="B19" s="156" t="s">
        <v>279</v>
      </c>
      <c r="C19" s="263" t="s">
        <v>293</v>
      </c>
    </row>
    <row r="20" spans="1:3" ht="22.5" customHeight="1" x14ac:dyDescent="0.4">
      <c r="A20" s="156" t="s">
        <v>258</v>
      </c>
      <c r="B20" s="156" t="s">
        <v>270</v>
      </c>
      <c r="C20" s="263"/>
    </row>
    <row r="21" spans="1:3" ht="22.5" customHeight="1" x14ac:dyDescent="0.4">
      <c r="A21" s="156" t="s">
        <v>280</v>
      </c>
      <c r="C21" s="263"/>
    </row>
    <row r="22" spans="1:3" ht="22.5" customHeight="1" x14ac:dyDescent="0.4">
      <c r="A22" s="156" t="s">
        <v>249</v>
      </c>
      <c r="C22" s="263"/>
    </row>
    <row r="23" spans="1:3" ht="22.5" customHeight="1" x14ac:dyDescent="0.4">
      <c r="A23" s="156" t="s">
        <v>250</v>
      </c>
      <c r="C23" s="263"/>
    </row>
    <row r="24" spans="1:3" ht="22.5" customHeight="1" x14ac:dyDescent="0.4">
      <c r="A24" s="156" t="s">
        <v>281</v>
      </c>
      <c r="C24" s="159" t="s">
        <v>294</v>
      </c>
    </row>
    <row r="25" spans="1:3" ht="22.5" customHeight="1" x14ac:dyDescent="0.4">
      <c r="C25" s="160" t="s">
        <v>295</v>
      </c>
    </row>
    <row r="26" spans="1:3" ht="22.5" customHeight="1" x14ac:dyDescent="0.4">
      <c r="A26" s="158" t="s">
        <v>251</v>
      </c>
      <c r="C26" s="263" t="s">
        <v>296</v>
      </c>
    </row>
    <row r="27" spans="1:3" ht="22.5" customHeight="1" x14ac:dyDescent="0.4">
      <c r="A27" s="156" t="s">
        <v>252</v>
      </c>
      <c r="C27" s="263"/>
    </row>
    <row r="28" spans="1:3" ht="22.5" customHeight="1" x14ac:dyDescent="0.4">
      <c r="A28" s="156" t="s">
        <v>253</v>
      </c>
      <c r="C28" s="159" t="s">
        <v>297</v>
      </c>
    </row>
    <row r="29" spans="1:3" ht="22.5" customHeight="1" x14ac:dyDescent="0.4">
      <c r="A29" s="156" t="s">
        <v>254</v>
      </c>
      <c r="C29" s="160" t="s">
        <v>298</v>
      </c>
    </row>
    <row r="30" spans="1:3" ht="22.5" customHeight="1" x14ac:dyDescent="0.4">
      <c r="A30" s="156" t="s">
        <v>255</v>
      </c>
      <c r="C30" s="263" t="s">
        <v>299</v>
      </c>
    </row>
    <row r="31" spans="1:3" ht="22.5" customHeight="1" x14ac:dyDescent="0.4">
      <c r="A31" s="156" t="s">
        <v>256</v>
      </c>
      <c r="C31" s="263"/>
    </row>
    <row r="32" spans="1:3" ht="22.5" customHeight="1" x14ac:dyDescent="0.4">
      <c r="A32" s="156" t="s">
        <v>257</v>
      </c>
      <c r="C32" s="263"/>
    </row>
    <row r="33" spans="1:3" ht="22.5" customHeight="1" x14ac:dyDescent="0.4">
      <c r="A33" s="156" t="s">
        <v>282</v>
      </c>
      <c r="C33" s="263"/>
    </row>
    <row r="34" spans="1:3" ht="24" customHeight="1" x14ac:dyDescent="0.4">
      <c r="C34" s="263"/>
    </row>
    <row r="36" spans="1:3" ht="24" customHeight="1" x14ac:dyDescent="0.4">
      <c r="C36" s="157"/>
    </row>
    <row r="40" spans="1:3" ht="24" customHeight="1" x14ac:dyDescent="0.4">
      <c r="C40" s="157"/>
    </row>
    <row r="44" spans="1:3" ht="24" customHeight="1" x14ac:dyDescent="0.4">
      <c r="C44" s="157"/>
    </row>
    <row r="49" spans="3:3" ht="24" customHeight="1" x14ac:dyDescent="0.4">
      <c r="C49" s="157"/>
    </row>
  </sheetData>
  <sheetProtection sheet="1" selectLockedCells="1" selectUnlockedCells="1"/>
  <mergeCells count="6">
    <mergeCell ref="C30:C34"/>
    <mergeCell ref="A1:B1"/>
    <mergeCell ref="C5:C10"/>
    <mergeCell ref="C19:C23"/>
    <mergeCell ref="C26:C27"/>
    <mergeCell ref="C14:C16"/>
  </mergeCells>
  <phoneticPr fontId="2"/>
  <printOptions horizontalCentered="1"/>
  <pageMargins left="0.86614173228346458" right="0.86614173228346458" top="0.98425196850393704" bottom="0.86614173228346458"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申込シート</vt:lpstr>
      <vt:lpstr>確認シート</vt:lpstr>
      <vt:lpstr>講演分類とシンポジウム</vt:lpstr>
      <vt:lpstr>確認シート!Print_Area</vt:lpstr>
      <vt:lpstr>申込シート!Print_Area</vt:lpstr>
    </vt:vector>
  </TitlesOfParts>
  <Company>一般社団法人表面技術協会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 講演申込書</dc:title>
  <dc:subject/>
  <dc:creator>学術委員会</dc:creator>
  <dc:description/>
  <cp:lastModifiedBy>sfj22</cp:lastModifiedBy>
  <cp:revision>1</cp:revision>
  <cp:lastPrinted>2025-10-16T02:12:15Z</cp:lastPrinted>
  <dcterms:created xsi:type="dcterms:W3CDTF">2007-06-29T01:06:34Z</dcterms:created>
  <dcterms:modified xsi:type="dcterms:W3CDTF">2025-10-23T11:36:22Z</dcterms:modified>
  <cp:category/>
  <cp:contentStatus/>
</cp:coreProperties>
</file>